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10" activeTab="0"/>
  </bookViews>
  <sheets>
    <sheet name="испол-е" sheetId="1" r:id="rId1"/>
  </sheets>
  <definedNames>
    <definedName name="_xlnm.Print_Titles" localSheetId="0">'испол-е'!$2:$4</definedName>
    <definedName name="_xlnm.Print_Area" localSheetId="0">'испол-е'!$A$1:$U$91</definedName>
  </definedNames>
  <calcPr fullCalcOnLoad="1"/>
</workbook>
</file>

<file path=xl/sharedStrings.xml><?xml version="1.0" encoding="utf-8"?>
<sst xmlns="http://schemas.openxmlformats.org/spreadsheetml/2006/main" count="131" uniqueCount="121">
  <si>
    <t>в том числе</t>
  </si>
  <si>
    <t>Управление по имущественным и земельным отношениям</t>
  </si>
  <si>
    <t>из них</t>
  </si>
  <si>
    <t>Проведение праздника труда</t>
  </si>
  <si>
    <t>Оценка недвижимости, оформление права собственности</t>
  </si>
  <si>
    <t>Общегосударственные расходы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</si>
  <si>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</si>
  <si>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</si>
  <si>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</si>
  <si>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</si>
  <si>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</si>
  <si>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1. Детские дошкольные учреждения</t>
  </si>
  <si>
    <t>2. Школы</t>
  </si>
  <si>
    <t>Культура, кинематография и средства массовой информации</t>
  </si>
  <si>
    <t>1. Содержание учреждений культуры</t>
  </si>
  <si>
    <t>Социальная политика</t>
  </si>
  <si>
    <t>2. Учреждения социальной защиты</t>
  </si>
  <si>
    <t>3. Социальное обеспечение населения</t>
  </si>
  <si>
    <t>5. Другие вопросы в области социальной политики</t>
  </si>
  <si>
    <t>ВСЕГО РАСХОДОВ</t>
  </si>
  <si>
    <t>Наименование</t>
  </si>
  <si>
    <t>из них собственные средства (01.00.00)</t>
  </si>
  <si>
    <t>ВСЕГО</t>
  </si>
  <si>
    <t>Утверждено в бюджете на 2011 год</t>
  </si>
  <si>
    <t>Обслуживание муниципального долга</t>
  </si>
  <si>
    <t>Средства массовой информации</t>
  </si>
  <si>
    <t>,</t>
  </si>
  <si>
    <t>Доплата за звание "Почетный гражданин района"</t>
  </si>
  <si>
    <t>Ожидаемая оценка 2011 года по собственным средствам</t>
  </si>
  <si>
    <t>Отклонение уточненного плана на 01.09.11 от ожидаемой оценки</t>
  </si>
  <si>
    <t>Предполагаемое распределение</t>
  </si>
  <si>
    <t>Здравоохранение</t>
  </si>
  <si>
    <r>
      <t>Утверждено на 2012 год (Уточненный план на 01</t>
    </r>
    <r>
      <rPr>
        <u val="single"/>
        <sz val="10"/>
        <rFont val="Times New Roman"/>
        <family val="1"/>
      </rPr>
      <t xml:space="preserve"> ноября</t>
    </r>
    <r>
      <rPr>
        <sz val="10"/>
        <rFont val="Times New Roman"/>
        <family val="1"/>
      </rPr>
      <t xml:space="preserve"> 2012 года)</t>
    </r>
  </si>
  <si>
    <t>ДЦП Соц.разв.села (ярмарка)</t>
  </si>
  <si>
    <t>3. Обеспечение деятельности ЕДДС</t>
  </si>
  <si>
    <t>5.субсидия АТП</t>
  </si>
  <si>
    <t>Утверждено (уточнение февраля) решением о бюджете 2013 г</t>
  </si>
  <si>
    <t>в том числе добровольные пожертвование от Газпрома</t>
  </si>
  <si>
    <t>просроченная кредиторская задолженность на 01.08.2013</t>
  </si>
  <si>
    <t>просроченная кредиторская задолженность на 01.01.2014</t>
  </si>
  <si>
    <t>расходы на МФЦ</t>
  </si>
  <si>
    <t>Дотация на поддержку мер по обеспечению сбалансированности местных бюджетов муниципальных районов на финансирование расходов, предусмотренных решением о бюджете</t>
  </si>
  <si>
    <t xml:space="preserve">Средства на временное социально-бытовое обустройство лиц, вынужденно покинувших территорию Украины </t>
  </si>
  <si>
    <t>* Глава района</t>
  </si>
  <si>
    <t>* Администрация района</t>
  </si>
  <si>
    <t>*Контрольно-счетная палата района</t>
  </si>
  <si>
    <t>*Управление финансов района</t>
  </si>
  <si>
    <t>Судебная система</t>
  </si>
  <si>
    <t>Проведение выборов</t>
  </si>
  <si>
    <t xml:space="preserve"> Резервный фонд </t>
  </si>
  <si>
    <t xml:space="preserve"> Другие общегосударственные вопросы</t>
  </si>
  <si>
    <t>* Земское Собрание района</t>
  </si>
  <si>
    <t>Специалисты села (ЕДК)</t>
  </si>
  <si>
    <t>Расходы на содержание имущества казны</t>
  </si>
  <si>
    <t>МП "Устойчивое развитие с/т" (ярмарка)</t>
  </si>
  <si>
    <t>Расходы на проведение мероприятий по предотвращению распространения сорного растения борщевик Сосновского</t>
  </si>
  <si>
    <t>1. Содержание ПСО</t>
  </si>
  <si>
    <t>2. предупреждение и ликвидация последствий чрезвычайных ситуаций</t>
  </si>
  <si>
    <t>2. Расходы на разработку и экспертизу проектно-сметной документации для строительства и реконструкции объектов газификации</t>
  </si>
  <si>
    <t>6. Софинансирование программ по переселению граждан из ветхого и аварийного жилья</t>
  </si>
  <si>
    <t>расходы за оказание услуг по проведению аудиторской проверки</t>
  </si>
  <si>
    <t>проведение конкурсов для малого и среднего предпринимательства</t>
  </si>
  <si>
    <t>софинансирование расходов на проведение мероприятий по предотвращению распространения сорного растения борщевик Сосновского</t>
  </si>
  <si>
    <t>4. Мероприятия по профилактике правонарушений несовершеннолетних</t>
  </si>
  <si>
    <t>5. Программа по переселению граждан из ветхого и аварийного жилья</t>
  </si>
  <si>
    <t>Расходы на приобретение служебного жилья медицинскому работнику</t>
  </si>
  <si>
    <t>3. Дополнительное образование детей</t>
  </si>
  <si>
    <t>4. Молодежная политика и оздоровление детей</t>
  </si>
  <si>
    <t>расходы на чествование отдельных категорий ветеранов по поручению Президента РФ</t>
  </si>
  <si>
    <t>Муниципальная программа "Устойчивое развитие сельских территорий Грязовецкого муниципального района Вологодской области на 2014-2017 годы и на период до 2020 года"</t>
  </si>
  <si>
    <t>МП "Органиазция отдыха детей, их оздоровления и занятости в Грязовецком районе"</t>
  </si>
  <si>
    <t>Утверждено (уточнение СБР на 01.01.2018 года)</t>
  </si>
  <si>
    <t>Исполнено на 01 января 2018 года</t>
  </si>
  <si>
    <t>Народный бюджет</t>
  </si>
  <si>
    <t>Расходы на предоставление субсидий социально-ориентированным некоммерческим организациям</t>
  </si>
  <si>
    <t>Раздел</t>
  </si>
  <si>
    <t>0100</t>
  </si>
  <si>
    <t>0113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</si>
  <si>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</si>
  <si>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</si>
  <si>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</si>
  <si>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</si>
  <si>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</si>
  <si>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</si>
  <si>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</si>
  <si>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</si>
  <si>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</si>
  <si>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</si>
  <si>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</si>
  <si>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</si>
  <si>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Содержание дорог</t>
  </si>
  <si>
    <t>Капитальный ремонт и содержание муниципального жилищного фонда</t>
  </si>
  <si>
    <t xml:space="preserve"> Другие вопросы в области образования</t>
  </si>
  <si>
    <t>Стипендии</t>
  </si>
  <si>
    <t>Физическая культура и спорт</t>
  </si>
  <si>
    <t>Содержание органов местного самоуправления</t>
  </si>
  <si>
    <t>Неисполненные ЛБО, тыс. руб.</t>
  </si>
  <si>
    <t>Расходы на организацию транспортного обслуживания населения района</t>
  </si>
  <si>
    <t>Субсидия из областного бюджета на развитие мобильной торговли в малонаселенных и труднодоступных населенных пунктах</t>
  </si>
  <si>
    <t>Муниципальная программа "Поддержка малого и среднего предпринимательства в Грязовецком муниципальном районе на 2015-2017 годы"</t>
  </si>
  <si>
    <t>Причины отклонения по средствам района</t>
  </si>
  <si>
    <t>экономия от проведения аукциона</t>
  </si>
  <si>
    <t>не выставлен счет за декабрь 2017г</t>
  </si>
  <si>
    <t>не израсходованы средства предусмотренные на учебу</t>
  </si>
  <si>
    <t>не определен получатель</t>
  </si>
  <si>
    <t>использованы средства под фактическую потребность</t>
  </si>
  <si>
    <t>жилье приобретено меньшей площадью, осталась часть невостребованной субсидии, был возврат</t>
  </si>
  <si>
    <t>не соостоялся конкурс, поздно разработан порядок</t>
  </si>
  <si>
    <t>под фактические расходы</t>
  </si>
  <si>
    <t>1. ремонт дороги на ст. Бушуиха будет произведен в 2018 году;
2. оплата ремонта дороги Гора-Полушкино будет произведена в 2018 году;
3. экономия средств от проведения процедур 440,4 тыс.руб.</t>
  </si>
  <si>
    <t>не поступила заявка на 2 конкурс</t>
  </si>
  <si>
    <t>КИТЦ</t>
  </si>
  <si>
    <t xml:space="preserve">Субсидия на разработку документов территориального планирования, градостроительного зонирования и документации по планировке территорий </t>
  </si>
  <si>
    <t>Расходы на поддержку субъектов малого и среднего предпринимательства</t>
  </si>
  <si>
    <t>Газификация</t>
  </si>
  <si>
    <t>Программа по переселению граждан из ветхого и аварийного жилья</t>
  </si>
  <si>
    <t>борщевик</t>
  </si>
  <si>
    <t>Охрана семьи и детства</t>
  </si>
  <si>
    <t>приобретение жилья ветеранам и инвалидам</t>
  </si>
  <si>
    <t>Муниципальная доплата к пенсии</t>
  </si>
  <si>
    <t>Исполнение по расходам бюджета Грязовецкого муниципального района за 2017 год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</si>
</sst>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"/>
    <numFmt numFmtId="182" formatCode="0.00000"/>
    <numFmt numFmtId="183" formatCode="0.0000"/>
    <numFmt numFmtId="184" formatCode="0.000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4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181" fontId="2" fillId="0" borderId="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181" fontId="2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181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81" fontId="4" fillId="0" borderId="0" xfId="0" applyNumberFormat="1" applyFont="1" applyBorder="1" applyAlignment="1">
      <alignment/>
    </xf>
    <xf numFmtId="185" fontId="4" fillId="0" borderId="10" xfId="0" applyNumberFormat="1" applyFont="1" applyBorder="1" applyAlignment="1">
      <alignment horizontal="center"/>
    </xf>
    <xf numFmtId="185" fontId="4" fillId="0" borderId="10" xfId="0" applyNumberFormat="1" applyFont="1" applyBorder="1" applyAlignment="1">
      <alignment/>
    </xf>
    <xf numFmtId="185" fontId="4" fillId="0" borderId="10" xfId="0" applyNumberFormat="1" applyFont="1" applyBorder="1" applyAlignment="1">
      <alignment horizontal="center" wrapText="1"/>
    </xf>
    <xf numFmtId="185" fontId="2" fillId="0" borderId="10" xfId="0" applyNumberFormat="1" applyFont="1" applyBorder="1" applyAlignment="1">
      <alignment horizontal="center" wrapText="1"/>
    </xf>
    <xf numFmtId="185" fontId="3" fillId="0" borderId="10" xfId="0" applyNumberFormat="1" applyFont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0" xfId="0" applyNumberFormat="1" applyFont="1" applyBorder="1" applyAlignment="1">
      <alignment wrapText="1"/>
    </xf>
    <xf numFmtId="185" fontId="3" fillId="0" borderId="10" xfId="0" applyNumberFormat="1" applyFont="1" applyBorder="1" applyAlignment="1">
      <alignment wrapText="1"/>
    </xf>
    <xf numFmtId="185" fontId="2" fillId="0" borderId="10" xfId="0" applyNumberFormat="1" applyFont="1" applyBorder="1" applyAlignment="1">
      <alignment horizontal="right" wrapText="1"/>
    </xf>
    <xf numFmtId="185" fontId="6" fillId="0" borderId="10" xfId="0" applyNumberFormat="1" applyFont="1" applyBorder="1" applyAlignment="1">
      <alignment wrapText="1"/>
    </xf>
    <xf numFmtId="185" fontId="4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0" fontId="2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/>
    </xf>
    <xf numFmtId="185" fontId="4" fillId="0" borderId="10" xfId="0" applyNumberFormat="1" applyFont="1" applyBorder="1" applyAlignment="1">
      <alignment horizontal="center" vertical="top"/>
    </xf>
    <xf numFmtId="185" fontId="7" fillId="0" borderId="10" xfId="0" applyNumberFormat="1" applyFont="1" applyBorder="1" applyAlignment="1">
      <alignment horizontal="center" wrapText="1"/>
    </xf>
    <xf numFmtId="185" fontId="7" fillId="0" borderId="10" xfId="0" applyNumberFormat="1" applyFont="1" applyBorder="1" applyAlignment="1">
      <alignment vertical="center" wrapText="1"/>
    </xf>
    <xf numFmtId="181" fontId="7" fillId="0" borderId="10" xfId="0" applyNumberFormat="1" applyFont="1" applyBorder="1" applyAlignment="1">
      <alignment vertical="center" wrapText="1"/>
    </xf>
    <xf numFmtId="185" fontId="2" fillId="0" borderId="10" xfId="0" applyNumberFormat="1" applyFont="1" applyBorder="1" applyAlignment="1">
      <alignment vertical="center" wrapText="1"/>
    </xf>
    <xf numFmtId="185" fontId="2" fillId="35" borderId="10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A91"/>
  <sheetViews>
    <sheetView tabSelected="1" view="pageBreakPreview" zoomScaleSheetLayoutView="100" zoomScalePageLayoutView="0" workbookViewId="0" topLeftCell="A1">
      <pane xSplit="3" ySplit="4" topLeftCell="F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4"/>
    </sheetView>
  </sheetViews>
  <sheetFormatPr defaultColWidth="8.8515625" defaultRowHeight="12.75"/>
  <cols>
    <col min="1" max="1" width="8.8515625" style="53" customWidth="1"/>
    <col min="2" max="2" width="51.7109375" style="65" customWidth="1"/>
    <col min="3" max="3" width="11.140625" style="1" hidden="1" customWidth="1"/>
    <col min="4" max="4" width="13.421875" style="1" hidden="1" customWidth="1"/>
    <col min="5" max="5" width="12.57421875" style="1" hidden="1" customWidth="1"/>
    <col min="6" max="6" width="14.8515625" style="1" customWidth="1"/>
    <col min="7" max="7" width="13.421875" style="1" customWidth="1"/>
    <col min="8" max="9" width="12.7109375" style="1" hidden="1" customWidth="1"/>
    <col min="10" max="10" width="14.8515625" style="1" customWidth="1"/>
    <col min="11" max="11" width="8.8515625" style="1" hidden="1" customWidth="1"/>
    <col min="12" max="14" width="14.28125" style="1" customWidth="1"/>
    <col min="15" max="15" width="39.7109375" style="33" hidden="1" customWidth="1"/>
    <col min="16" max="16" width="0.2890625" style="1" hidden="1" customWidth="1"/>
    <col min="17" max="17" width="11.57421875" style="1" hidden="1" customWidth="1"/>
    <col min="18" max="18" width="10.7109375" style="1" hidden="1" customWidth="1"/>
    <col min="19" max="19" width="8.8515625" style="1" hidden="1" customWidth="1"/>
    <col min="20" max="20" width="15.00390625" style="1" hidden="1" customWidth="1"/>
    <col min="21" max="21" width="14.57421875" style="1" hidden="1" customWidth="1"/>
    <col min="22" max="22" width="13.00390625" style="33" customWidth="1"/>
    <col min="23" max="25" width="12.140625" style="33" customWidth="1"/>
    <col min="26" max="26" width="15.57421875" style="33" customWidth="1"/>
    <col min="27" max="27" width="16.8515625" style="33" customWidth="1"/>
    <col min="28" max="16384" width="8.8515625" style="1" customWidth="1"/>
  </cols>
  <sheetData>
    <row r="1" spans="1:19" ht="28.5" customHeight="1">
      <c r="A1" s="83" t="s">
        <v>120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27" ht="12.75">
      <c r="A2" s="82" t="s">
        <v>75</v>
      </c>
      <c r="B2" s="79" t="s">
        <v>20</v>
      </c>
      <c r="C2" s="76" t="s">
        <v>23</v>
      </c>
      <c r="D2" s="76" t="s">
        <v>36</v>
      </c>
      <c r="E2" s="76"/>
      <c r="F2" s="76" t="s">
        <v>71</v>
      </c>
      <c r="G2" s="76"/>
      <c r="H2" s="76" t="s">
        <v>32</v>
      </c>
      <c r="I2" s="76"/>
      <c r="J2" s="76" t="s">
        <v>72</v>
      </c>
      <c r="K2" s="78"/>
      <c r="L2" s="78"/>
      <c r="M2" s="73" t="s">
        <v>96</v>
      </c>
      <c r="N2" s="84"/>
      <c r="O2" s="79" t="s">
        <v>100</v>
      </c>
      <c r="P2" s="4"/>
      <c r="Q2" s="77" t="s">
        <v>28</v>
      </c>
      <c r="R2" s="77" t="s">
        <v>29</v>
      </c>
      <c r="S2" s="77" t="s">
        <v>30</v>
      </c>
      <c r="T2" s="79" t="s">
        <v>38</v>
      </c>
      <c r="U2" s="73" t="s">
        <v>39</v>
      </c>
      <c r="V2" s="34"/>
      <c r="W2" s="34"/>
      <c r="X2" s="34"/>
      <c r="Y2" s="34"/>
      <c r="Z2" s="34"/>
      <c r="AA2" s="34"/>
    </row>
    <row r="3" spans="1:27" ht="12.75">
      <c r="A3" s="82"/>
      <c r="B3" s="80"/>
      <c r="C3" s="76"/>
      <c r="D3" s="76"/>
      <c r="E3" s="76"/>
      <c r="F3" s="76"/>
      <c r="G3" s="76"/>
      <c r="H3" s="76"/>
      <c r="I3" s="76"/>
      <c r="J3" s="76"/>
      <c r="K3" s="78"/>
      <c r="L3" s="78"/>
      <c r="M3" s="75"/>
      <c r="N3" s="85"/>
      <c r="O3" s="80"/>
      <c r="P3" s="4"/>
      <c r="Q3" s="77"/>
      <c r="R3" s="77"/>
      <c r="S3" s="77"/>
      <c r="T3" s="80"/>
      <c r="U3" s="74"/>
      <c r="V3" s="34"/>
      <c r="W3" s="34"/>
      <c r="X3" s="34"/>
      <c r="Y3" s="34"/>
      <c r="Z3" s="34"/>
      <c r="AA3" s="34"/>
    </row>
    <row r="4" spans="1:27" ht="51">
      <c r="A4" s="82"/>
      <c r="B4" s="81"/>
      <c r="C4" s="76"/>
      <c r="D4" s="28" t="s">
        <v>22</v>
      </c>
      <c r="E4" s="27" t="s">
        <v>21</v>
      </c>
      <c r="F4" s="2" t="s">
        <v>22</v>
      </c>
      <c r="G4" s="27" t="s">
        <v>21</v>
      </c>
      <c r="H4" s="28" t="s">
        <v>22</v>
      </c>
      <c r="I4" s="27" t="s">
        <v>21</v>
      </c>
      <c r="J4" s="28" t="s">
        <v>22</v>
      </c>
      <c r="K4" s="54"/>
      <c r="L4" s="27" t="s">
        <v>21</v>
      </c>
      <c r="M4" s="2" t="s">
        <v>22</v>
      </c>
      <c r="N4" s="27" t="s">
        <v>21</v>
      </c>
      <c r="O4" s="81"/>
      <c r="P4" s="4"/>
      <c r="Q4" s="77"/>
      <c r="R4" s="77"/>
      <c r="S4" s="77"/>
      <c r="T4" s="81"/>
      <c r="U4" s="75"/>
      <c r="W4" s="34"/>
      <c r="X4" s="34"/>
      <c r="Y4" s="34"/>
      <c r="Z4" s="34"/>
      <c r="AA4" s="34"/>
    </row>
    <row r="5" spans="1:27" ht="15.75">
      <c r="A5" s="66" t="s">
        <v>76</v>
      </c>
      <c r="B5" s="56" t="s">
        <v>5</v>
      </c>
      <c r="C5" s="3" t="e">
        <f>C6+C16+C17</f>
        <v>#REF!</v>
      </c>
      <c r="D5" s="3" t="e">
        <f aca="true" t="shared" si="0" ref="D5:L5">D6+D17</f>
        <v>#REF!</v>
      </c>
      <c r="E5" s="3" t="e">
        <f t="shared" si="0"/>
        <v>#REF!</v>
      </c>
      <c r="F5" s="44">
        <f>F6+F17</f>
        <v>55599</v>
      </c>
      <c r="G5" s="44">
        <f t="shared" si="0"/>
        <v>46974.2</v>
      </c>
      <c r="H5" s="44">
        <f t="shared" si="0"/>
        <v>0</v>
      </c>
      <c r="I5" s="44">
        <f t="shared" si="0"/>
        <v>0</v>
      </c>
      <c r="J5" s="44">
        <f t="shared" si="0"/>
        <v>55597</v>
      </c>
      <c r="K5" s="44">
        <f t="shared" si="0"/>
        <v>0</v>
      </c>
      <c r="L5" s="44">
        <f t="shared" si="0"/>
        <v>46972.2</v>
      </c>
      <c r="M5" s="44">
        <f>F5-J5</f>
        <v>2</v>
      </c>
      <c r="N5" s="44">
        <f>G5-L5</f>
        <v>2</v>
      </c>
      <c r="O5" s="69"/>
      <c r="P5" s="4"/>
      <c r="Q5" s="3" t="e">
        <f>Q6+Q16+Q17</f>
        <v>#REF!</v>
      </c>
      <c r="R5" s="3" t="e">
        <f>R6+R16+R17</f>
        <v>#REF!</v>
      </c>
      <c r="S5" s="3" t="e">
        <f>S6+S16+S17</f>
        <v>#REF!</v>
      </c>
      <c r="T5" s="3">
        <f>T9+T17+T12</f>
        <v>1509.1000000000004</v>
      </c>
      <c r="U5" s="23">
        <f>U9+U17+U12</f>
        <v>844.5</v>
      </c>
      <c r="V5" s="35"/>
      <c r="W5" s="35"/>
      <c r="X5" s="35"/>
      <c r="Y5" s="35"/>
      <c r="Z5" s="35"/>
      <c r="AA5" s="35"/>
    </row>
    <row r="6" spans="1:27" ht="15.75">
      <c r="A6" s="66"/>
      <c r="B6" s="57" t="s">
        <v>95</v>
      </c>
      <c r="C6" s="18" t="e">
        <f>C8+#REF!+C9+C10+C11+C12</f>
        <v>#REF!</v>
      </c>
      <c r="D6" s="18">
        <f>D8+D9+D11+D12+D16</f>
        <v>38286.9</v>
      </c>
      <c r="E6" s="18">
        <f>E8+E9+E11+E12+E16</f>
        <v>35440.4</v>
      </c>
      <c r="F6" s="45">
        <f>SUM(F8:F16)</f>
        <v>48475.7</v>
      </c>
      <c r="G6" s="45">
        <f>SUM(G8:G16)</f>
        <v>43757.899999999994</v>
      </c>
      <c r="H6" s="45">
        <f>SUM(H8:H16)</f>
        <v>0</v>
      </c>
      <c r="I6" s="45">
        <f>SUM(I8:I16)</f>
        <v>0</v>
      </c>
      <c r="J6" s="45">
        <f>SUM(J8:J16)</f>
        <v>48473.7</v>
      </c>
      <c r="K6" s="45">
        <f>K8+K9+K11+K12+K13+K14+K16</f>
        <v>0</v>
      </c>
      <c r="L6" s="45">
        <f>SUM(L8:L16)</f>
        <v>43755.899999999994</v>
      </c>
      <c r="M6" s="68">
        <f aca="true" t="shared" si="1" ref="M6:M68">F6-J6</f>
        <v>2</v>
      </c>
      <c r="N6" s="68">
        <f aca="true" t="shared" si="2" ref="N6:N68">G6-L6</f>
        <v>2</v>
      </c>
      <c r="O6" s="69"/>
      <c r="P6" s="4"/>
      <c r="Q6" s="55" t="e">
        <f>Q8+#REF!+Q9+Q10+Q11+Q12</f>
        <v>#REF!</v>
      </c>
      <c r="R6" s="55" t="e">
        <f>R8+#REF!+R9+R10+R11+R12</f>
        <v>#REF!</v>
      </c>
      <c r="S6" s="4"/>
      <c r="T6" s="4"/>
      <c r="U6" s="15"/>
      <c r="V6" s="31"/>
      <c r="W6" s="31"/>
      <c r="X6" s="35"/>
      <c r="Y6" s="35"/>
      <c r="Z6" s="31"/>
      <c r="AA6" s="31"/>
    </row>
    <row r="7" spans="1:25" ht="15.75">
      <c r="A7" s="66"/>
      <c r="B7" s="58" t="s">
        <v>0</v>
      </c>
      <c r="C7" s="19"/>
      <c r="D7" s="5"/>
      <c r="E7" s="5"/>
      <c r="F7" s="46"/>
      <c r="G7" s="46"/>
      <c r="H7" s="46"/>
      <c r="I7" s="46"/>
      <c r="J7" s="47"/>
      <c r="K7" s="47"/>
      <c r="L7" s="47"/>
      <c r="M7" s="44">
        <f t="shared" si="1"/>
        <v>0</v>
      </c>
      <c r="N7" s="44">
        <f t="shared" si="2"/>
        <v>0</v>
      </c>
      <c r="O7" s="69"/>
      <c r="P7" s="4"/>
      <c r="Q7" s="25"/>
      <c r="R7" s="25"/>
      <c r="S7" s="4"/>
      <c r="T7" s="4"/>
      <c r="U7" s="15"/>
      <c r="X7" s="35"/>
      <c r="Y7" s="35"/>
    </row>
    <row r="8" spans="1:25" ht="15.75">
      <c r="A8" s="66"/>
      <c r="B8" s="58" t="s">
        <v>43</v>
      </c>
      <c r="C8" s="19">
        <v>1391.4</v>
      </c>
      <c r="D8" s="5">
        <v>1564</v>
      </c>
      <c r="E8" s="5">
        <v>1564</v>
      </c>
      <c r="F8" s="47">
        <v>1833.3</v>
      </c>
      <c r="G8" s="47">
        <v>1833.3</v>
      </c>
      <c r="H8" s="47"/>
      <c r="I8" s="47"/>
      <c r="J8" s="47">
        <v>1833.3</v>
      </c>
      <c r="K8" s="47"/>
      <c r="L8" s="47">
        <v>1833.3</v>
      </c>
      <c r="M8" s="44">
        <f t="shared" si="1"/>
        <v>0</v>
      </c>
      <c r="N8" s="44">
        <f t="shared" si="2"/>
        <v>0</v>
      </c>
      <c r="O8" s="69"/>
      <c r="P8" s="4"/>
      <c r="Q8" s="25">
        <f>1192.8+159.6</f>
        <v>1352.3999999999999</v>
      </c>
      <c r="R8" s="25">
        <f>I8-Q8</f>
        <v>-1352.3999999999999</v>
      </c>
      <c r="S8" s="4"/>
      <c r="T8" s="4"/>
      <c r="U8" s="15"/>
      <c r="X8" s="35"/>
      <c r="Y8" s="35"/>
    </row>
    <row r="9" spans="1:25" ht="15.75">
      <c r="A9" s="66"/>
      <c r="B9" s="58" t="s">
        <v>44</v>
      </c>
      <c r="C9" s="19">
        <v>29384.5</v>
      </c>
      <c r="D9" s="5">
        <v>27081.9</v>
      </c>
      <c r="E9" s="5">
        <v>25283.4</v>
      </c>
      <c r="F9" s="47">
        <v>36682.1</v>
      </c>
      <c r="G9" s="47">
        <v>32747.3</v>
      </c>
      <c r="H9" s="47"/>
      <c r="I9" s="47"/>
      <c r="J9" s="47">
        <v>36682.1</v>
      </c>
      <c r="K9" s="47"/>
      <c r="L9" s="47">
        <v>32747.3</v>
      </c>
      <c r="M9" s="44">
        <f t="shared" si="1"/>
        <v>0</v>
      </c>
      <c r="N9" s="44">
        <f t="shared" si="2"/>
        <v>0</v>
      </c>
      <c r="O9" s="69"/>
      <c r="P9" s="4"/>
      <c r="Q9" s="4">
        <f>907.2+159.4+13788.7+4191.1+5611.1</f>
        <v>24657.5</v>
      </c>
      <c r="R9" s="25">
        <f>I9-Q9</f>
        <v>-24657.5</v>
      </c>
      <c r="S9" s="4"/>
      <c r="T9" s="4">
        <f>361.4+47.2+375.7+1290.5+236.8+2459.9+281.1-196.8-676.9-190.5-2459.9-557.8</f>
        <v>970.7000000000005</v>
      </c>
      <c r="U9" s="15">
        <v>512.8</v>
      </c>
      <c r="X9" s="35"/>
      <c r="Y9" s="35"/>
    </row>
    <row r="10" spans="1:25" ht="15.75" hidden="1">
      <c r="A10" s="66"/>
      <c r="B10" s="59" t="s">
        <v>1</v>
      </c>
      <c r="C10" s="20">
        <v>4564.8</v>
      </c>
      <c r="D10" s="6"/>
      <c r="E10" s="6"/>
      <c r="F10" s="48"/>
      <c r="G10" s="48"/>
      <c r="H10" s="48"/>
      <c r="I10" s="48"/>
      <c r="J10" s="47"/>
      <c r="K10" s="47"/>
      <c r="L10" s="47"/>
      <c r="M10" s="44">
        <f t="shared" si="1"/>
        <v>0</v>
      </c>
      <c r="N10" s="44">
        <f t="shared" si="2"/>
        <v>0</v>
      </c>
      <c r="O10" s="69"/>
      <c r="P10" s="4"/>
      <c r="Q10" s="4">
        <v>4348.2</v>
      </c>
      <c r="R10" s="25">
        <f>I10-Q10</f>
        <v>-4348.2</v>
      </c>
      <c r="S10" s="4"/>
      <c r="T10" s="4"/>
      <c r="U10" s="15"/>
      <c r="X10" s="35"/>
      <c r="Y10" s="35"/>
    </row>
    <row r="11" spans="1:27" ht="15.75">
      <c r="A11" s="66"/>
      <c r="B11" s="58" t="s">
        <v>45</v>
      </c>
      <c r="C11" s="19">
        <v>1432.4</v>
      </c>
      <c r="D11" s="5">
        <v>1777.5</v>
      </c>
      <c r="E11" s="5">
        <v>967.5</v>
      </c>
      <c r="F11" s="47">
        <v>1567.7</v>
      </c>
      <c r="G11" s="47">
        <v>857.7</v>
      </c>
      <c r="H11" s="47"/>
      <c r="I11" s="47"/>
      <c r="J11" s="47">
        <v>1567.7</v>
      </c>
      <c r="K11" s="47"/>
      <c r="L11" s="47">
        <v>857.7</v>
      </c>
      <c r="M11" s="44">
        <f t="shared" si="1"/>
        <v>0</v>
      </c>
      <c r="N11" s="44">
        <f t="shared" si="2"/>
        <v>0</v>
      </c>
      <c r="O11" s="69"/>
      <c r="P11" s="4"/>
      <c r="Q11" s="4">
        <f>435.5+140.2+20</f>
        <v>595.7</v>
      </c>
      <c r="R11" s="25">
        <f>I11-Q11</f>
        <v>-595.7</v>
      </c>
      <c r="S11" s="4"/>
      <c r="T11" s="4"/>
      <c r="U11" s="15"/>
      <c r="V11" s="36"/>
      <c r="X11" s="35"/>
      <c r="Y11" s="35"/>
      <c r="Z11" s="36"/>
      <c r="AA11" s="36"/>
    </row>
    <row r="12" spans="1:25" ht="15.75">
      <c r="A12" s="66"/>
      <c r="B12" s="58" t="s">
        <v>46</v>
      </c>
      <c r="C12" s="19">
        <v>7552.6</v>
      </c>
      <c r="D12" s="5">
        <v>7363.5</v>
      </c>
      <c r="E12" s="5">
        <v>7125.5</v>
      </c>
      <c r="F12" s="47">
        <v>6405.5</v>
      </c>
      <c r="G12" s="47">
        <v>6335.5</v>
      </c>
      <c r="H12" s="47"/>
      <c r="I12" s="47"/>
      <c r="J12" s="47">
        <v>6405.5</v>
      </c>
      <c r="K12" s="47"/>
      <c r="L12" s="47">
        <v>6335.5</v>
      </c>
      <c r="M12" s="44">
        <f t="shared" si="1"/>
        <v>0</v>
      </c>
      <c r="N12" s="44">
        <f t="shared" si="2"/>
        <v>0</v>
      </c>
      <c r="O12" s="69"/>
      <c r="P12" s="4"/>
      <c r="Q12" s="4">
        <f>6925</f>
        <v>6925</v>
      </c>
      <c r="R12" s="25">
        <f>I12-Q12</f>
        <v>-6925</v>
      </c>
      <c r="S12" s="4"/>
      <c r="T12" s="4">
        <v>533.8</v>
      </c>
      <c r="U12" s="15">
        <v>331.7</v>
      </c>
      <c r="X12" s="35"/>
      <c r="Y12" s="35"/>
    </row>
    <row r="13" spans="1:25" ht="15.75">
      <c r="A13" s="66"/>
      <c r="B13" s="58" t="s">
        <v>51</v>
      </c>
      <c r="C13" s="19"/>
      <c r="D13" s="5"/>
      <c r="E13" s="5"/>
      <c r="F13" s="47">
        <v>1984.1</v>
      </c>
      <c r="G13" s="47">
        <v>1984.1</v>
      </c>
      <c r="H13" s="47"/>
      <c r="I13" s="47"/>
      <c r="J13" s="47">
        <v>1982.1</v>
      </c>
      <c r="K13" s="47"/>
      <c r="L13" s="47">
        <v>1982.1</v>
      </c>
      <c r="M13" s="68">
        <f t="shared" si="1"/>
        <v>2</v>
      </c>
      <c r="N13" s="68">
        <f t="shared" si="2"/>
        <v>2</v>
      </c>
      <c r="O13" s="69"/>
      <c r="P13" s="4"/>
      <c r="Q13" s="4"/>
      <c r="R13" s="25"/>
      <c r="S13" s="4"/>
      <c r="T13" s="4"/>
      <c r="U13" s="15"/>
      <c r="X13" s="35"/>
      <c r="Y13" s="35"/>
    </row>
    <row r="14" spans="1:25" ht="15.75">
      <c r="A14" s="66"/>
      <c r="B14" s="58" t="s">
        <v>47</v>
      </c>
      <c r="C14" s="19"/>
      <c r="D14" s="5"/>
      <c r="E14" s="5"/>
      <c r="F14" s="47">
        <v>3</v>
      </c>
      <c r="G14" s="47">
        <v>0</v>
      </c>
      <c r="H14" s="47"/>
      <c r="I14" s="47"/>
      <c r="J14" s="47">
        <v>3</v>
      </c>
      <c r="K14" s="47"/>
      <c r="L14" s="47">
        <v>0</v>
      </c>
      <c r="M14" s="44">
        <f t="shared" si="1"/>
        <v>0</v>
      </c>
      <c r="N14" s="44">
        <f t="shared" si="2"/>
        <v>0</v>
      </c>
      <c r="O14" s="69"/>
      <c r="P14" s="4"/>
      <c r="Q14" s="4"/>
      <c r="R14" s="25"/>
      <c r="S14" s="4"/>
      <c r="T14" s="4"/>
      <c r="U14" s="15"/>
      <c r="X14" s="35"/>
      <c r="Y14" s="35"/>
    </row>
    <row r="15" spans="1:25" ht="15.75" hidden="1">
      <c r="A15" s="66"/>
      <c r="B15" s="58" t="s">
        <v>48</v>
      </c>
      <c r="C15" s="19"/>
      <c r="D15" s="5"/>
      <c r="E15" s="5"/>
      <c r="F15" s="47"/>
      <c r="G15" s="47"/>
      <c r="H15" s="47"/>
      <c r="I15" s="47"/>
      <c r="J15" s="47"/>
      <c r="K15" s="47"/>
      <c r="L15" s="47"/>
      <c r="M15" s="44">
        <f t="shared" si="1"/>
        <v>0</v>
      </c>
      <c r="N15" s="44">
        <f t="shared" si="2"/>
        <v>0</v>
      </c>
      <c r="O15" s="69"/>
      <c r="P15" s="4"/>
      <c r="Q15" s="4"/>
      <c r="R15" s="25"/>
      <c r="S15" s="4"/>
      <c r="T15" s="4"/>
      <c r="U15" s="15"/>
      <c r="X15" s="35"/>
      <c r="Y15" s="35"/>
    </row>
    <row r="16" spans="1:25" ht="15.75" hidden="1">
      <c r="A16" s="66"/>
      <c r="B16" s="8" t="s">
        <v>49</v>
      </c>
      <c r="C16" s="21">
        <v>500</v>
      </c>
      <c r="D16" s="7">
        <v>500</v>
      </c>
      <c r="E16" s="7">
        <v>500</v>
      </c>
      <c r="F16" s="48"/>
      <c r="G16" s="48"/>
      <c r="H16" s="48"/>
      <c r="I16" s="48"/>
      <c r="J16" s="47"/>
      <c r="K16" s="47"/>
      <c r="L16" s="47"/>
      <c r="M16" s="44">
        <f t="shared" si="1"/>
        <v>0</v>
      </c>
      <c r="N16" s="44">
        <f t="shared" si="2"/>
        <v>0</v>
      </c>
      <c r="O16" s="69"/>
      <c r="P16" s="4"/>
      <c r="Q16" s="4">
        <v>500</v>
      </c>
      <c r="R16" s="25">
        <f>I16-Q16</f>
        <v>-500</v>
      </c>
      <c r="S16" s="4"/>
      <c r="T16" s="4"/>
      <c r="U16" s="15"/>
      <c r="X16" s="35"/>
      <c r="Y16" s="35"/>
    </row>
    <row r="17" spans="1:27" ht="15.75">
      <c r="A17" s="66" t="s">
        <v>77</v>
      </c>
      <c r="B17" s="60" t="s">
        <v>50</v>
      </c>
      <c r="C17" s="21" t="e">
        <f>C20+C21+#REF!+C22+C23+C25+#REF!+#REF!</f>
        <v>#REF!</v>
      </c>
      <c r="D17" s="3" t="e">
        <f>D20+D21+#REF!+D22+D23+D25+#REF!+#REF!+D27+#REF!+D19</f>
        <v>#REF!</v>
      </c>
      <c r="E17" s="3" t="e">
        <f>E20+E21+#REF!+E22+E23+E25+#REF!+#REF!+E27+#REF!+E19</f>
        <v>#REF!</v>
      </c>
      <c r="F17" s="44">
        <v>7123.3</v>
      </c>
      <c r="G17" s="44">
        <v>3216.3</v>
      </c>
      <c r="H17" s="44">
        <f>SUM(H19:H31)</f>
        <v>0</v>
      </c>
      <c r="I17" s="44">
        <f>SUM(I19:I31)</f>
        <v>0</v>
      </c>
      <c r="J17" s="44">
        <v>7123.3</v>
      </c>
      <c r="K17" s="44">
        <f>SUM(K19:K31)</f>
        <v>0</v>
      </c>
      <c r="L17" s="44">
        <v>3216.3</v>
      </c>
      <c r="M17" s="44">
        <f t="shared" si="1"/>
        <v>0</v>
      </c>
      <c r="N17" s="44">
        <f t="shared" si="2"/>
        <v>0</v>
      </c>
      <c r="O17" s="69"/>
      <c r="P17" s="4"/>
      <c r="Q17" s="3" t="e">
        <f>Q20+Q21+#REF!+Q22+Q23+Q25+#REF!+#REF!+Q27</f>
        <v>#REF!</v>
      </c>
      <c r="R17" s="25" t="e">
        <f>I17-Q17</f>
        <v>#REF!</v>
      </c>
      <c r="S17" s="3" t="e">
        <f>S20+S21+#REF!+S22+S23+S25+#REF!+#REF!+S27</f>
        <v>#REF!</v>
      </c>
      <c r="T17" s="3">
        <f>T25</f>
        <v>4.6</v>
      </c>
      <c r="U17" s="23">
        <f>U25</f>
        <v>0</v>
      </c>
      <c r="V17" s="35"/>
      <c r="W17" s="35"/>
      <c r="X17" s="35"/>
      <c r="Y17" s="35"/>
      <c r="Z17" s="35"/>
      <c r="AA17" s="35"/>
    </row>
    <row r="18" spans="1:25" ht="15.75">
      <c r="A18" s="66"/>
      <c r="B18" s="59" t="s">
        <v>2</v>
      </c>
      <c r="C18" s="20"/>
      <c r="D18" s="6"/>
      <c r="E18" s="6"/>
      <c r="F18" s="49"/>
      <c r="G18" s="49"/>
      <c r="H18" s="49"/>
      <c r="I18" s="49"/>
      <c r="J18" s="47"/>
      <c r="K18" s="47"/>
      <c r="L18" s="47"/>
      <c r="M18" s="44">
        <f t="shared" si="1"/>
        <v>0</v>
      </c>
      <c r="N18" s="44">
        <f t="shared" si="2"/>
        <v>0</v>
      </c>
      <c r="O18" s="69"/>
      <c r="P18" s="4"/>
      <c r="Q18" s="4"/>
      <c r="R18" s="25">
        <f>I18-Q18</f>
        <v>0</v>
      </c>
      <c r="S18" s="4"/>
      <c r="T18" s="4"/>
      <c r="U18" s="15"/>
      <c r="X18" s="35"/>
      <c r="Y18" s="35"/>
    </row>
    <row r="19" spans="1:25" ht="15.75">
      <c r="A19" s="66"/>
      <c r="B19" s="59" t="s">
        <v>40</v>
      </c>
      <c r="C19" s="20"/>
      <c r="D19" s="6">
        <v>90</v>
      </c>
      <c r="E19" s="6">
        <v>90</v>
      </c>
      <c r="F19" s="48">
        <v>4908</v>
      </c>
      <c r="G19" s="48">
        <v>1001</v>
      </c>
      <c r="H19" s="48"/>
      <c r="I19" s="48"/>
      <c r="J19" s="47">
        <v>4908</v>
      </c>
      <c r="K19" s="47"/>
      <c r="L19" s="47">
        <v>1001</v>
      </c>
      <c r="M19" s="44">
        <f t="shared" si="1"/>
        <v>0</v>
      </c>
      <c r="N19" s="44">
        <f t="shared" si="2"/>
        <v>0</v>
      </c>
      <c r="O19" s="69"/>
      <c r="P19" s="4"/>
      <c r="Q19" s="4"/>
      <c r="R19" s="25"/>
      <c r="S19" s="4"/>
      <c r="T19" s="4"/>
      <c r="U19" s="15"/>
      <c r="X19" s="35"/>
      <c r="Y19" s="35"/>
    </row>
    <row r="20" spans="1:27" ht="24.75" hidden="1">
      <c r="A20" s="66"/>
      <c r="B20" s="59" t="s">
        <v>70</v>
      </c>
      <c r="C20" s="20">
        <v>100</v>
      </c>
      <c r="D20" s="6">
        <v>150</v>
      </c>
      <c r="E20" s="6">
        <v>150</v>
      </c>
      <c r="F20" s="48"/>
      <c r="G20" s="48"/>
      <c r="H20" s="48"/>
      <c r="I20" s="48"/>
      <c r="J20" s="47"/>
      <c r="K20" s="47"/>
      <c r="L20" s="47"/>
      <c r="M20" s="44">
        <f t="shared" si="1"/>
        <v>0</v>
      </c>
      <c r="N20" s="44">
        <f t="shared" si="2"/>
        <v>0</v>
      </c>
      <c r="O20" s="69"/>
      <c r="P20" s="4" t="s">
        <v>26</v>
      </c>
      <c r="Q20" s="4">
        <v>100</v>
      </c>
      <c r="R20" s="25">
        <f>I20-Q20</f>
        <v>-100</v>
      </c>
      <c r="S20" s="4"/>
      <c r="T20" s="4"/>
      <c r="U20" s="15"/>
      <c r="V20" s="36"/>
      <c r="W20" s="36"/>
      <c r="X20" s="35"/>
      <c r="Y20" s="35"/>
      <c r="Z20" s="36"/>
      <c r="AA20" s="36"/>
    </row>
    <row r="21" spans="1:25" ht="15.75">
      <c r="A21" s="66"/>
      <c r="B21" s="59" t="s">
        <v>27</v>
      </c>
      <c r="C21" s="20">
        <v>668.4</v>
      </c>
      <c r="D21" s="6">
        <v>750</v>
      </c>
      <c r="E21" s="6">
        <v>750</v>
      </c>
      <c r="F21" s="48">
        <v>740.6</v>
      </c>
      <c r="G21" s="48">
        <v>740.6</v>
      </c>
      <c r="H21" s="48"/>
      <c r="I21" s="48"/>
      <c r="J21" s="47">
        <v>740.6</v>
      </c>
      <c r="K21" s="47"/>
      <c r="L21" s="47">
        <v>740.6</v>
      </c>
      <c r="M21" s="44">
        <f t="shared" si="1"/>
        <v>0</v>
      </c>
      <c r="N21" s="44">
        <f t="shared" si="2"/>
        <v>0</v>
      </c>
      <c r="O21" s="69"/>
      <c r="P21" s="4"/>
      <c r="Q21" s="4">
        <v>714.4</v>
      </c>
      <c r="R21" s="25">
        <f>I21-Q21</f>
        <v>-714.4</v>
      </c>
      <c r="S21" s="4"/>
      <c r="T21" s="4"/>
      <c r="U21" s="15"/>
      <c r="X21" s="35"/>
      <c r="Y21" s="35"/>
    </row>
    <row r="22" spans="1:27" ht="15.75">
      <c r="A22" s="66"/>
      <c r="B22" s="59" t="s">
        <v>3</v>
      </c>
      <c r="C22" s="20">
        <v>250</v>
      </c>
      <c r="D22" s="6">
        <v>300</v>
      </c>
      <c r="E22" s="6">
        <v>300</v>
      </c>
      <c r="F22" s="48">
        <v>250</v>
      </c>
      <c r="G22" s="48">
        <v>250</v>
      </c>
      <c r="H22" s="48"/>
      <c r="I22" s="48"/>
      <c r="J22" s="48">
        <v>250</v>
      </c>
      <c r="K22" s="48"/>
      <c r="L22" s="48">
        <v>250</v>
      </c>
      <c r="M22" s="44">
        <f t="shared" si="1"/>
        <v>0</v>
      </c>
      <c r="N22" s="44">
        <f t="shared" si="2"/>
        <v>0</v>
      </c>
      <c r="O22" s="69"/>
      <c r="P22" s="4"/>
      <c r="Q22" s="4">
        <v>244.2</v>
      </c>
      <c r="R22" s="4">
        <f>I22-Q22</f>
        <v>-244.2</v>
      </c>
      <c r="S22" s="4"/>
      <c r="T22" s="4"/>
      <c r="U22" s="15"/>
      <c r="V22" s="37"/>
      <c r="W22" s="37"/>
      <c r="X22" s="35"/>
      <c r="Y22" s="35"/>
      <c r="Z22" s="37"/>
      <c r="AA22" s="37"/>
    </row>
    <row r="23" spans="1:25" ht="15.75">
      <c r="A23" s="66"/>
      <c r="B23" s="59" t="s">
        <v>4</v>
      </c>
      <c r="C23" s="20">
        <v>300</v>
      </c>
      <c r="D23" s="6">
        <v>252</v>
      </c>
      <c r="E23" s="6">
        <v>252</v>
      </c>
      <c r="F23" s="48">
        <v>270.6</v>
      </c>
      <c r="G23" s="48">
        <v>270.6</v>
      </c>
      <c r="H23" s="48"/>
      <c r="I23" s="48"/>
      <c r="J23" s="47">
        <v>270.6</v>
      </c>
      <c r="K23" s="47"/>
      <c r="L23" s="47">
        <v>270.6</v>
      </c>
      <c r="M23" s="44">
        <f t="shared" si="1"/>
        <v>0</v>
      </c>
      <c r="N23" s="44">
        <f t="shared" si="2"/>
        <v>0</v>
      </c>
      <c r="O23" s="69"/>
      <c r="P23" s="4"/>
      <c r="Q23" s="4">
        <v>300</v>
      </c>
      <c r="R23" s="4">
        <f>I23-Q23</f>
        <v>-300</v>
      </c>
      <c r="S23" s="4"/>
      <c r="T23" s="4"/>
      <c r="U23" s="15"/>
      <c r="X23" s="35"/>
      <c r="Y23" s="35"/>
    </row>
    <row r="24" spans="1:25" ht="15.75">
      <c r="A24" s="66"/>
      <c r="B24" s="59" t="s">
        <v>53</v>
      </c>
      <c r="C24" s="20"/>
      <c r="D24" s="6"/>
      <c r="E24" s="6"/>
      <c r="F24" s="48">
        <v>143</v>
      </c>
      <c r="G24" s="48">
        <v>143</v>
      </c>
      <c r="H24" s="48"/>
      <c r="I24" s="48"/>
      <c r="J24" s="47">
        <v>143</v>
      </c>
      <c r="K24" s="47"/>
      <c r="L24" s="47">
        <v>143</v>
      </c>
      <c r="M24" s="44">
        <f t="shared" si="1"/>
        <v>0</v>
      </c>
      <c r="N24" s="44">
        <f t="shared" si="2"/>
        <v>0</v>
      </c>
      <c r="O24" s="69"/>
      <c r="P24" s="4"/>
      <c r="Q24" s="4"/>
      <c r="R24" s="4"/>
      <c r="S24" s="4"/>
      <c r="T24" s="4"/>
      <c r="U24" s="15"/>
      <c r="X24" s="35"/>
      <c r="Y24" s="35"/>
    </row>
    <row r="25" spans="1:27" ht="15.75">
      <c r="A25" s="66"/>
      <c r="B25" s="59" t="s">
        <v>60</v>
      </c>
      <c r="C25" s="20">
        <v>500</v>
      </c>
      <c r="D25" s="6">
        <v>1199.1</v>
      </c>
      <c r="E25" s="6">
        <v>1199.1</v>
      </c>
      <c r="F25" s="48">
        <v>70</v>
      </c>
      <c r="G25" s="48">
        <v>70</v>
      </c>
      <c r="H25" s="48"/>
      <c r="I25" s="48"/>
      <c r="J25" s="47">
        <v>70</v>
      </c>
      <c r="K25" s="47"/>
      <c r="L25" s="47">
        <v>70</v>
      </c>
      <c r="M25" s="44">
        <f t="shared" si="1"/>
        <v>0</v>
      </c>
      <c r="N25" s="44">
        <f t="shared" si="2"/>
        <v>0</v>
      </c>
      <c r="O25" s="69"/>
      <c r="P25" s="4"/>
      <c r="Q25" s="4">
        <f>I25+212.3</f>
        <v>212.3</v>
      </c>
      <c r="R25" s="4">
        <f>I25-Q25</f>
        <v>-212.3</v>
      </c>
      <c r="S25" s="4">
        <v>212.3</v>
      </c>
      <c r="T25" s="4">
        <v>4.6</v>
      </c>
      <c r="U25" s="15"/>
      <c r="V25" s="36"/>
      <c r="W25" s="36"/>
      <c r="X25" s="35"/>
      <c r="Y25" s="35"/>
      <c r="Z25" s="36"/>
      <c r="AA25" s="36"/>
    </row>
    <row r="26" spans="1:27" ht="15.75" hidden="1">
      <c r="A26" s="66"/>
      <c r="B26" s="59" t="s">
        <v>54</v>
      </c>
      <c r="C26" s="20"/>
      <c r="D26" s="6">
        <v>100</v>
      </c>
      <c r="E26" s="6">
        <v>100</v>
      </c>
      <c r="F26" s="48"/>
      <c r="G26" s="48"/>
      <c r="H26" s="48"/>
      <c r="I26" s="48"/>
      <c r="J26" s="47"/>
      <c r="K26" s="47"/>
      <c r="L26" s="47"/>
      <c r="M26" s="44">
        <f t="shared" si="1"/>
        <v>0</v>
      </c>
      <c r="N26" s="44">
        <f t="shared" si="2"/>
        <v>0</v>
      </c>
      <c r="O26" s="69"/>
      <c r="P26" s="4"/>
      <c r="Q26" s="4"/>
      <c r="R26" s="4"/>
      <c r="S26" s="4"/>
      <c r="T26" s="4"/>
      <c r="U26" s="15"/>
      <c r="V26" s="36"/>
      <c r="W26" s="36"/>
      <c r="X26" s="35"/>
      <c r="Y26" s="35"/>
      <c r="Z26" s="36"/>
      <c r="AA26" s="36"/>
    </row>
    <row r="27" spans="1:27" ht="15.75" hidden="1">
      <c r="A27" s="66"/>
      <c r="B27" s="59" t="s">
        <v>33</v>
      </c>
      <c r="C27" s="20"/>
      <c r="D27" s="6">
        <v>100</v>
      </c>
      <c r="E27" s="6">
        <v>100</v>
      </c>
      <c r="F27" s="48"/>
      <c r="G27" s="48"/>
      <c r="H27" s="48"/>
      <c r="I27" s="48"/>
      <c r="J27" s="47"/>
      <c r="K27" s="47"/>
      <c r="L27" s="47"/>
      <c r="M27" s="44">
        <f t="shared" si="1"/>
        <v>0</v>
      </c>
      <c r="N27" s="44">
        <f t="shared" si="2"/>
        <v>0</v>
      </c>
      <c r="O27" s="69"/>
      <c r="P27" s="4"/>
      <c r="Q27" s="4">
        <v>106.3</v>
      </c>
      <c r="R27" s="4">
        <f>I27-Q27</f>
        <v>-106.3</v>
      </c>
      <c r="S27" s="4"/>
      <c r="T27" s="4"/>
      <c r="U27" s="15"/>
      <c r="V27" s="36"/>
      <c r="W27" s="36"/>
      <c r="X27" s="35"/>
      <c r="Y27" s="35"/>
      <c r="Z27" s="36"/>
      <c r="AA27" s="36"/>
    </row>
    <row r="28" spans="1:27" ht="15.75" hidden="1">
      <c r="A28" s="66"/>
      <c r="B28" s="59" t="s">
        <v>61</v>
      </c>
      <c r="C28" s="20"/>
      <c r="D28" s="6"/>
      <c r="E28" s="6"/>
      <c r="F28" s="48"/>
      <c r="G28" s="48"/>
      <c r="H28" s="48"/>
      <c r="I28" s="48"/>
      <c r="J28" s="47"/>
      <c r="K28" s="47"/>
      <c r="L28" s="47"/>
      <c r="M28" s="44">
        <f t="shared" si="1"/>
        <v>0</v>
      </c>
      <c r="N28" s="44">
        <f t="shared" si="2"/>
        <v>0</v>
      </c>
      <c r="O28" s="69"/>
      <c r="P28" s="4"/>
      <c r="Q28" s="4"/>
      <c r="R28" s="4"/>
      <c r="S28" s="4"/>
      <c r="T28" s="4"/>
      <c r="U28" s="15"/>
      <c r="V28" s="36"/>
      <c r="W28" s="36"/>
      <c r="X28" s="35"/>
      <c r="Y28" s="35"/>
      <c r="Z28" s="36"/>
      <c r="AA28" s="36"/>
    </row>
    <row r="29" spans="1:27" ht="24.75" hidden="1">
      <c r="A29" s="66"/>
      <c r="B29" s="59" t="s">
        <v>42</v>
      </c>
      <c r="C29" s="20"/>
      <c r="D29" s="6"/>
      <c r="E29" s="6"/>
      <c r="F29" s="48"/>
      <c r="G29" s="48"/>
      <c r="H29" s="48"/>
      <c r="I29" s="48"/>
      <c r="J29" s="47"/>
      <c r="K29" s="47"/>
      <c r="L29" s="47"/>
      <c r="M29" s="44">
        <f t="shared" si="1"/>
        <v>0</v>
      </c>
      <c r="N29" s="44">
        <f t="shared" si="2"/>
        <v>0</v>
      </c>
      <c r="O29" s="69"/>
      <c r="P29" s="4"/>
      <c r="Q29" s="4"/>
      <c r="R29" s="4"/>
      <c r="S29" s="4"/>
      <c r="T29" s="4"/>
      <c r="U29" s="15"/>
      <c r="V29" s="36"/>
      <c r="W29" s="36"/>
      <c r="X29" s="35"/>
      <c r="Y29" s="35"/>
      <c r="Z29" s="36"/>
      <c r="AA29" s="36"/>
    </row>
    <row r="30" spans="1:27" ht="24.75" hidden="1">
      <c r="A30" s="66"/>
      <c r="B30" s="59" t="s">
        <v>55</v>
      </c>
      <c r="C30" s="20"/>
      <c r="D30" s="6"/>
      <c r="E30" s="6"/>
      <c r="F30" s="48"/>
      <c r="G30" s="48"/>
      <c r="H30" s="48"/>
      <c r="I30" s="48"/>
      <c r="J30" s="47"/>
      <c r="K30" s="47"/>
      <c r="L30" s="47"/>
      <c r="M30" s="44">
        <f t="shared" si="1"/>
        <v>0</v>
      </c>
      <c r="N30" s="44">
        <f t="shared" si="2"/>
        <v>0</v>
      </c>
      <c r="O30" s="69"/>
      <c r="P30" s="4"/>
      <c r="Q30" s="4"/>
      <c r="R30" s="4"/>
      <c r="S30" s="4"/>
      <c r="T30" s="4"/>
      <c r="U30" s="15"/>
      <c r="V30" s="36"/>
      <c r="W30" s="36"/>
      <c r="X30" s="35"/>
      <c r="Y30" s="35"/>
      <c r="Z30" s="36"/>
      <c r="AA30" s="36"/>
    </row>
    <row r="31" spans="1:27" ht="36.75" hidden="1">
      <c r="A31" s="66"/>
      <c r="B31" s="59" t="s">
        <v>62</v>
      </c>
      <c r="C31" s="20"/>
      <c r="D31" s="6"/>
      <c r="E31" s="6"/>
      <c r="F31" s="48"/>
      <c r="G31" s="48"/>
      <c r="H31" s="48"/>
      <c r="I31" s="48"/>
      <c r="J31" s="47"/>
      <c r="K31" s="47"/>
      <c r="L31" s="47"/>
      <c r="M31" s="44">
        <f t="shared" si="1"/>
        <v>0</v>
      </c>
      <c r="N31" s="44">
        <f t="shared" si="2"/>
        <v>0</v>
      </c>
      <c r="O31" s="69"/>
      <c r="P31" s="4"/>
      <c r="Q31" s="4"/>
      <c r="R31" s="4"/>
      <c r="S31" s="4"/>
      <c r="T31" s="4"/>
      <c r="U31" s="15"/>
      <c r="V31" s="36"/>
      <c r="W31" s="36"/>
      <c r="X31" s="35"/>
      <c r="Y31" s="35"/>
      <c r="Z31" s="36"/>
      <c r="AA31" s="36"/>
    </row>
    <row r="32" spans="1:27" ht="31.5">
      <c r="A32" s="66" t="s">
        <v>78</v>
      </c>
      <c r="B32" s="56" t="s">
        <v>6</v>
      </c>
      <c r="C32" s="3">
        <f>C33+C34</f>
        <v>923</v>
      </c>
      <c r="D32" s="3">
        <f>D33+D34+D35</f>
        <v>1729.2</v>
      </c>
      <c r="E32" s="3">
        <f>E33+E34+E35</f>
        <v>1547.2</v>
      </c>
      <c r="F32" s="44">
        <v>1005.8</v>
      </c>
      <c r="G32" s="44">
        <v>940.3</v>
      </c>
      <c r="H32" s="44">
        <f>SUM(H33:H36)</f>
        <v>0</v>
      </c>
      <c r="I32" s="44">
        <f>SUM(I33:I36)</f>
        <v>0</v>
      </c>
      <c r="J32" s="44">
        <v>1005.8</v>
      </c>
      <c r="K32" s="44">
        <f>SUM(K33:K36)</f>
        <v>0</v>
      </c>
      <c r="L32" s="44">
        <v>940.3</v>
      </c>
      <c r="M32" s="44">
        <f t="shared" si="1"/>
        <v>0</v>
      </c>
      <c r="N32" s="44">
        <f t="shared" si="2"/>
        <v>0</v>
      </c>
      <c r="O32" s="69"/>
      <c r="P32" s="4"/>
      <c r="Q32" s="3">
        <f>Q33+Q34</f>
        <v>812.7</v>
      </c>
      <c r="R32" s="4">
        <f>I32-Q32</f>
        <v>-812.7</v>
      </c>
      <c r="S32" s="3">
        <f>S33+S34</f>
        <v>0</v>
      </c>
      <c r="T32" s="3"/>
      <c r="U32" s="23"/>
      <c r="V32" s="38"/>
      <c r="W32" s="38"/>
      <c r="X32" s="35"/>
      <c r="Y32" s="35"/>
      <c r="Z32" s="38"/>
      <c r="AA32" s="38"/>
    </row>
    <row r="33" spans="1:27" ht="15.75">
      <c r="A33" s="66"/>
      <c r="B33" s="8" t="s">
        <v>56</v>
      </c>
      <c r="C33" s="17">
        <v>500</v>
      </c>
      <c r="D33" s="14">
        <v>609</v>
      </c>
      <c r="E33" s="14">
        <v>427</v>
      </c>
      <c r="F33" s="50">
        <v>50</v>
      </c>
      <c r="G33" s="50">
        <v>50</v>
      </c>
      <c r="H33" s="50"/>
      <c r="I33" s="50"/>
      <c r="J33" s="47">
        <v>50</v>
      </c>
      <c r="K33" s="47"/>
      <c r="L33" s="47">
        <v>50</v>
      </c>
      <c r="M33" s="44">
        <f t="shared" si="1"/>
        <v>0</v>
      </c>
      <c r="N33" s="44">
        <f t="shared" si="2"/>
        <v>0</v>
      </c>
      <c r="O33" s="69"/>
      <c r="P33" s="4"/>
      <c r="Q33" s="4">
        <v>500</v>
      </c>
      <c r="R33" s="4">
        <f>I33-Q33</f>
        <v>-500</v>
      </c>
      <c r="S33" s="4"/>
      <c r="T33" s="4"/>
      <c r="U33" s="15"/>
      <c r="V33" s="36"/>
      <c r="W33" s="36"/>
      <c r="X33" s="35"/>
      <c r="Y33" s="35"/>
      <c r="Z33" s="36"/>
      <c r="AA33" s="36"/>
    </row>
    <row r="34" spans="1:27" ht="26.25">
      <c r="A34" s="66"/>
      <c r="B34" s="8" t="s">
        <v>57</v>
      </c>
      <c r="C34" s="17">
        <v>423</v>
      </c>
      <c r="D34" s="14">
        <v>295.7</v>
      </c>
      <c r="E34" s="14">
        <v>295.7</v>
      </c>
      <c r="F34" s="50">
        <v>65.5</v>
      </c>
      <c r="G34" s="50">
        <v>0</v>
      </c>
      <c r="H34" s="50"/>
      <c r="I34" s="50"/>
      <c r="J34" s="47">
        <v>65.5</v>
      </c>
      <c r="K34" s="47"/>
      <c r="L34" s="47">
        <v>0</v>
      </c>
      <c r="M34" s="44">
        <f t="shared" si="1"/>
        <v>0</v>
      </c>
      <c r="N34" s="44">
        <f t="shared" si="2"/>
        <v>0</v>
      </c>
      <c r="O34" s="69"/>
      <c r="P34" s="4"/>
      <c r="Q34" s="13">
        <v>312.7</v>
      </c>
      <c r="R34" s="4">
        <f>I34-Q34</f>
        <v>-312.7</v>
      </c>
      <c r="S34" s="4"/>
      <c r="T34" s="4"/>
      <c r="U34" s="15"/>
      <c r="V34" s="36"/>
      <c r="W34" s="36"/>
      <c r="X34" s="35"/>
      <c r="Y34" s="35"/>
      <c r="Z34" s="36"/>
      <c r="AA34" s="36"/>
    </row>
    <row r="35" spans="1:27" ht="15.75">
      <c r="A35" s="66"/>
      <c r="B35" s="8" t="s">
        <v>34</v>
      </c>
      <c r="C35" s="17"/>
      <c r="D35" s="14">
        <v>824.5</v>
      </c>
      <c r="E35" s="14">
        <v>824.5</v>
      </c>
      <c r="F35" s="50">
        <v>860.3</v>
      </c>
      <c r="G35" s="50">
        <v>860.3</v>
      </c>
      <c r="H35" s="50"/>
      <c r="I35" s="50"/>
      <c r="J35" s="47">
        <v>860.3</v>
      </c>
      <c r="K35" s="47"/>
      <c r="L35" s="47">
        <v>860.3</v>
      </c>
      <c r="M35" s="44">
        <f t="shared" si="1"/>
        <v>0</v>
      </c>
      <c r="N35" s="44">
        <f t="shared" si="2"/>
        <v>0</v>
      </c>
      <c r="O35" s="69"/>
      <c r="P35" s="4"/>
      <c r="Q35" s="13"/>
      <c r="R35" s="4"/>
      <c r="S35" s="4"/>
      <c r="T35" s="4"/>
      <c r="U35" s="15"/>
      <c r="V35" s="36"/>
      <c r="W35" s="36"/>
      <c r="X35" s="35"/>
      <c r="Y35" s="35"/>
      <c r="Z35" s="36"/>
      <c r="AA35" s="36"/>
    </row>
    <row r="36" spans="1:27" ht="26.25">
      <c r="A36" s="66"/>
      <c r="B36" s="8" t="s">
        <v>63</v>
      </c>
      <c r="C36" s="17"/>
      <c r="D36" s="14"/>
      <c r="E36" s="14"/>
      <c r="F36" s="50">
        <v>30</v>
      </c>
      <c r="G36" s="50">
        <v>30</v>
      </c>
      <c r="H36" s="50"/>
      <c r="I36" s="50"/>
      <c r="J36" s="47">
        <v>30</v>
      </c>
      <c r="K36" s="47"/>
      <c r="L36" s="47">
        <v>30</v>
      </c>
      <c r="M36" s="44">
        <f t="shared" si="1"/>
        <v>0</v>
      </c>
      <c r="N36" s="44">
        <f t="shared" si="2"/>
        <v>0</v>
      </c>
      <c r="O36" s="69"/>
      <c r="P36" s="4"/>
      <c r="Q36" s="13"/>
      <c r="R36" s="4"/>
      <c r="S36" s="4"/>
      <c r="T36" s="4"/>
      <c r="U36" s="15"/>
      <c r="V36" s="36"/>
      <c r="W36" s="36"/>
      <c r="X36" s="35"/>
      <c r="Y36" s="35"/>
      <c r="Z36" s="36"/>
      <c r="AA36" s="36"/>
    </row>
    <row r="37" spans="1:27" ht="15.75">
      <c r="A37" s="66" t="s">
        <v>79</v>
      </c>
      <c r="B37" s="56" t="s">
        <v>7</v>
      </c>
      <c r="C37" s="3" t="e">
        <f>#REF!+C38+C39+C40+#REF!+#REF!+C42+C44</f>
        <v>#REF!</v>
      </c>
      <c r="D37" s="11">
        <f>SUM(D38:D44)</f>
        <v>33547.6</v>
      </c>
      <c r="E37" s="11">
        <f>SUM(E38:E44)</f>
        <v>12647.6</v>
      </c>
      <c r="F37" s="43">
        <v>36870.4</v>
      </c>
      <c r="G37" s="43">
        <v>25175.1</v>
      </c>
      <c r="H37" s="43">
        <f>H38+H39+H40+H41+H42+H43+H44+H45+H46</f>
        <v>0</v>
      </c>
      <c r="I37" s="43">
        <f>I38+I39+I40+I41+I42+I43+I44+I45+I46</f>
        <v>0</v>
      </c>
      <c r="J37" s="43">
        <v>35285.3</v>
      </c>
      <c r="K37" s="43">
        <f>K38+K39+K40+K41+K42+K43+K44+K45+K46</f>
        <v>0</v>
      </c>
      <c r="L37" s="43">
        <v>23901.4</v>
      </c>
      <c r="M37" s="44">
        <f t="shared" si="1"/>
        <v>1585.0999999999985</v>
      </c>
      <c r="N37" s="44">
        <f t="shared" si="2"/>
        <v>1273.699999999997</v>
      </c>
      <c r="O37" s="69"/>
      <c r="P37" s="4"/>
      <c r="Q37" s="11">
        <f>SUM(Q38:Q44)</f>
        <v>7555.799999999999</v>
      </c>
      <c r="R37" s="4">
        <f>I37-Q37</f>
        <v>-7555.799999999999</v>
      </c>
      <c r="S37" s="11">
        <f>SUM(S38:S44)</f>
        <v>1453.4</v>
      </c>
      <c r="T37" s="3">
        <f>T38+T40</f>
        <v>1145.8</v>
      </c>
      <c r="U37" s="23">
        <f>U38</f>
        <v>207.4</v>
      </c>
      <c r="V37" s="39"/>
      <c r="W37" s="39"/>
      <c r="X37" s="35"/>
      <c r="Y37" s="35"/>
      <c r="Z37" s="39"/>
      <c r="AA37" s="39"/>
    </row>
    <row r="38" spans="1:25" ht="76.5">
      <c r="A38" s="66"/>
      <c r="B38" s="8" t="s">
        <v>90</v>
      </c>
      <c r="C38" s="17">
        <v>3238.5</v>
      </c>
      <c r="D38" s="14">
        <v>23811.5</v>
      </c>
      <c r="E38" s="14">
        <v>2911.5</v>
      </c>
      <c r="F38" s="50">
        <v>25509.9</v>
      </c>
      <c r="G38" s="50">
        <v>14484.2</v>
      </c>
      <c r="H38" s="50"/>
      <c r="I38" s="50"/>
      <c r="J38" s="47">
        <v>24395.7</v>
      </c>
      <c r="K38" s="47"/>
      <c r="L38" s="47">
        <v>13379.1</v>
      </c>
      <c r="M38" s="68">
        <f t="shared" si="1"/>
        <v>1114.2000000000007</v>
      </c>
      <c r="N38" s="68">
        <f t="shared" si="2"/>
        <v>1105.1000000000004</v>
      </c>
      <c r="O38" s="72" t="s">
        <v>109</v>
      </c>
      <c r="P38" s="4"/>
      <c r="Q38" s="4">
        <v>3176.4</v>
      </c>
      <c r="R38" s="4">
        <f>I38-Q38</f>
        <v>-3176.4</v>
      </c>
      <c r="S38" s="4">
        <v>62.1</v>
      </c>
      <c r="T38" s="4">
        <v>676.9</v>
      </c>
      <c r="U38" s="15">
        <v>207.4</v>
      </c>
      <c r="X38" s="35"/>
      <c r="Y38" s="35"/>
    </row>
    <row r="39" spans="1:25" ht="26.25">
      <c r="A39" s="66"/>
      <c r="B39" s="8" t="s">
        <v>97</v>
      </c>
      <c r="C39" s="17">
        <v>2176.2</v>
      </c>
      <c r="D39" s="14">
        <v>2524.9</v>
      </c>
      <c r="E39" s="14">
        <v>2524.9</v>
      </c>
      <c r="F39" s="50">
        <v>616.4</v>
      </c>
      <c r="G39" s="50">
        <v>431.6</v>
      </c>
      <c r="H39" s="50"/>
      <c r="I39" s="50"/>
      <c r="J39" s="47">
        <v>547.9</v>
      </c>
      <c r="K39" s="47"/>
      <c r="L39" s="47">
        <v>363</v>
      </c>
      <c r="M39" s="68">
        <f t="shared" si="1"/>
        <v>68.5</v>
      </c>
      <c r="N39" s="68">
        <f t="shared" si="2"/>
        <v>68.60000000000002</v>
      </c>
      <c r="O39" s="71" t="s">
        <v>101</v>
      </c>
      <c r="P39" s="4"/>
      <c r="Q39" s="4">
        <f>2264.1+695.8-4.5</f>
        <v>2955.3999999999996</v>
      </c>
      <c r="R39" s="4">
        <f>I39-Q39</f>
        <v>-2955.3999999999996</v>
      </c>
      <c r="S39" s="4">
        <v>691.3</v>
      </c>
      <c r="T39" s="4"/>
      <c r="U39" s="15"/>
      <c r="X39" s="35"/>
      <c r="Y39" s="35"/>
    </row>
    <row r="40" spans="1:25" ht="39">
      <c r="A40" s="66"/>
      <c r="B40" s="8" t="s">
        <v>98</v>
      </c>
      <c r="C40" s="17">
        <v>1040.9</v>
      </c>
      <c r="D40" s="14">
        <v>1000</v>
      </c>
      <c r="E40" s="14">
        <v>1000</v>
      </c>
      <c r="F40" s="50">
        <v>484.8</v>
      </c>
      <c r="G40" s="50">
        <v>0</v>
      </c>
      <c r="H40" s="50"/>
      <c r="I40" s="50"/>
      <c r="J40" s="47">
        <v>182.5</v>
      </c>
      <c r="K40" s="47"/>
      <c r="L40" s="47">
        <v>0</v>
      </c>
      <c r="M40" s="68">
        <f t="shared" si="1"/>
        <v>302.3</v>
      </c>
      <c r="N40" s="68">
        <f t="shared" si="2"/>
        <v>0</v>
      </c>
      <c r="O40" s="71"/>
      <c r="P40" s="4"/>
      <c r="Q40" s="4">
        <v>1024</v>
      </c>
      <c r="R40" s="4">
        <f>I40-Q40</f>
        <v>-1024</v>
      </c>
      <c r="S40" s="4"/>
      <c r="T40" s="4">
        <v>468.9</v>
      </c>
      <c r="U40" s="15"/>
      <c r="X40" s="35"/>
      <c r="Y40" s="35"/>
    </row>
    <row r="41" spans="1:27" ht="39">
      <c r="A41" s="66"/>
      <c r="B41" s="8" t="s">
        <v>99</v>
      </c>
      <c r="C41" s="17"/>
      <c r="D41" s="14">
        <v>584.6</v>
      </c>
      <c r="E41" s="14">
        <v>584.6</v>
      </c>
      <c r="F41" s="50">
        <v>200</v>
      </c>
      <c r="G41" s="50">
        <v>200</v>
      </c>
      <c r="H41" s="50"/>
      <c r="I41" s="50"/>
      <c r="J41" s="47">
        <v>100</v>
      </c>
      <c r="K41" s="47"/>
      <c r="L41" s="47">
        <v>100</v>
      </c>
      <c r="M41" s="68">
        <f t="shared" si="1"/>
        <v>100</v>
      </c>
      <c r="N41" s="68">
        <f t="shared" si="2"/>
        <v>100</v>
      </c>
      <c r="O41" s="71" t="s">
        <v>110</v>
      </c>
      <c r="P41" s="4"/>
      <c r="Q41" s="4"/>
      <c r="R41" s="4"/>
      <c r="S41" s="4">
        <v>700</v>
      </c>
      <c r="T41" s="4"/>
      <c r="U41" s="15"/>
      <c r="V41" s="36"/>
      <c r="W41" s="36"/>
      <c r="X41" s="35"/>
      <c r="Y41" s="35"/>
      <c r="Z41" s="36"/>
      <c r="AA41" s="36"/>
    </row>
    <row r="42" spans="1:27" ht="15.75" hidden="1">
      <c r="A42" s="66"/>
      <c r="B42" s="8" t="s">
        <v>35</v>
      </c>
      <c r="C42" s="17">
        <v>100</v>
      </c>
      <c r="D42" s="14">
        <v>500</v>
      </c>
      <c r="E42" s="14">
        <v>500</v>
      </c>
      <c r="F42" s="50"/>
      <c r="G42" s="50"/>
      <c r="H42" s="50"/>
      <c r="I42" s="50"/>
      <c r="J42" s="47"/>
      <c r="K42" s="47"/>
      <c r="L42" s="47"/>
      <c r="M42" s="44">
        <f t="shared" si="1"/>
        <v>0</v>
      </c>
      <c r="N42" s="44">
        <f t="shared" si="2"/>
        <v>0</v>
      </c>
      <c r="O42" s="71"/>
      <c r="P42" s="4"/>
      <c r="Q42" s="4">
        <v>100</v>
      </c>
      <c r="R42" s="4">
        <f>I42-Q42</f>
        <v>-100</v>
      </c>
      <c r="S42" s="4"/>
      <c r="T42" s="4"/>
      <c r="U42" s="15"/>
      <c r="V42" s="36"/>
      <c r="W42" s="36"/>
      <c r="X42" s="35"/>
      <c r="Y42" s="35"/>
      <c r="Z42" s="36"/>
      <c r="AA42" s="36"/>
    </row>
    <row r="43" spans="1:25" ht="15.75">
      <c r="A43" s="66"/>
      <c r="B43" s="29" t="s">
        <v>1</v>
      </c>
      <c r="C43" s="20">
        <v>4564.8</v>
      </c>
      <c r="D43" s="6">
        <v>4926.6</v>
      </c>
      <c r="E43" s="6">
        <v>4926.6</v>
      </c>
      <c r="F43" s="48">
        <v>4752.7</v>
      </c>
      <c r="G43" s="48">
        <v>4752.7</v>
      </c>
      <c r="H43" s="48"/>
      <c r="I43" s="48"/>
      <c r="J43" s="47">
        <v>4752.7</v>
      </c>
      <c r="K43" s="47"/>
      <c r="L43" s="47">
        <v>4752.7</v>
      </c>
      <c r="M43" s="44">
        <f t="shared" si="1"/>
        <v>0</v>
      </c>
      <c r="N43" s="44">
        <f t="shared" si="2"/>
        <v>0</v>
      </c>
      <c r="O43" s="71"/>
      <c r="P43" s="4"/>
      <c r="Q43" s="4"/>
      <c r="R43" s="4"/>
      <c r="S43" s="4"/>
      <c r="T43" s="4"/>
      <c r="U43" s="15"/>
      <c r="X43" s="35"/>
      <c r="Y43" s="35"/>
    </row>
    <row r="44" spans="1:27" ht="25.5" hidden="1">
      <c r="A44" s="66"/>
      <c r="B44" s="29" t="s">
        <v>113</v>
      </c>
      <c r="C44" s="17">
        <v>300</v>
      </c>
      <c r="D44" s="14">
        <v>200</v>
      </c>
      <c r="E44" s="14">
        <v>200</v>
      </c>
      <c r="F44" s="50"/>
      <c r="G44" s="50"/>
      <c r="H44" s="50"/>
      <c r="I44" s="50"/>
      <c r="J44" s="47"/>
      <c r="K44" s="47"/>
      <c r="L44" s="47"/>
      <c r="M44" s="44">
        <f t="shared" si="1"/>
        <v>0</v>
      </c>
      <c r="N44" s="44">
        <f t="shared" si="2"/>
        <v>0</v>
      </c>
      <c r="O44" s="71"/>
      <c r="P44" s="4"/>
      <c r="Q44" s="4">
        <v>300</v>
      </c>
      <c r="R44" s="4">
        <f>I44-Q44</f>
        <v>-300</v>
      </c>
      <c r="S44" s="4"/>
      <c r="T44" s="4"/>
      <c r="U44" s="15"/>
      <c r="V44" s="36"/>
      <c r="W44" s="36"/>
      <c r="X44" s="35"/>
      <c r="Y44" s="35"/>
      <c r="Z44" s="36"/>
      <c r="AA44" s="36"/>
    </row>
    <row r="45" spans="1:27" ht="15.75">
      <c r="A45" s="66"/>
      <c r="B45" s="29" t="s">
        <v>111</v>
      </c>
      <c r="C45" s="17"/>
      <c r="D45" s="14"/>
      <c r="E45" s="14"/>
      <c r="F45" s="50">
        <v>4668.3</v>
      </c>
      <c r="G45" s="50">
        <v>4668.3</v>
      </c>
      <c r="H45" s="50"/>
      <c r="I45" s="50"/>
      <c r="J45" s="47">
        <v>4668.3</v>
      </c>
      <c r="K45" s="47"/>
      <c r="L45" s="47">
        <v>4668.3</v>
      </c>
      <c r="M45" s="44">
        <f t="shared" si="1"/>
        <v>0</v>
      </c>
      <c r="N45" s="44">
        <f t="shared" si="2"/>
        <v>0</v>
      </c>
      <c r="O45" s="71"/>
      <c r="P45" s="4"/>
      <c r="Q45" s="4"/>
      <c r="R45" s="4"/>
      <c r="S45" s="4"/>
      <c r="T45" s="4"/>
      <c r="U45" s="15"/>
      <c r="V45" s="36"/>
      <c r="W45" s="36"/>
      <c r="X45" s="35"/>
      <c r="Y45" s="35"/>
      <c r="Z45" s="36"/>
      <c r="AA45" s="36"/>
    </row>
    <row r="46" spans="1:27" ht="38.25">
      <c r="A46" s="66"/>
      <c r="B46" s="29" t="s">
        <v>112</v>
      </c>
      <c r="C46" s="17"/>
      <c r="D46" s="14"/>
      <c r="E46" s="14"/>
      <c r="F46" s="50">
        <v>505.5</v>
      </c>
      <c r="G46" s="50">
        <v>505.5</v>
      </c>
      <c r="H46" s="50"/>
      <c r="I46" s="50"/>
      <c r="J46" s="47">
        <v>505.5</v>
      </c>
      <c r="K46" s="47"/>
      <c r="L46" s="47">
        <v>505.5</v>
      </c>
      <c r="M46" s="44">
        <f t="shared" si="1"/>
        <v>0</v>
      </c>
      <c r="N46" s="44">
        <f t="shared" si="2"/>
        <v>0</v>
      </c>
      <c r="O46" s="71"/>
      <c r="P46" s="4"/>
      <c r="Q46" s="4"/>
      <c r="R46" s="4"/>
      <c r="S46" s="4"/>
      <c r="T46" s="4"/>
      <c r="U46" s="15"/>
      <c r="V46" s="36"/>
      <c r="W46" s="36"/>
      <c r="X46" s="35"/>
      <c r="Y46" s="35"/>
      <c r="Z46" s="36"/>
      <c r="AA46" s="36"/>
    </row>
    <row r="47" spans="1:27" ht="15.75">
      <c r="A47" s="66" t="s">
        <v>80</v>
      </c>
      <c r="B47" s="56" t="s">
        <v>8</v>
      </c>
      <c r="C47" s="3" t="e">
        <f>C48+#REF!+#REF!+#REF!+#REF!+#REF!+#REF!</f>
        <v>#REF!</v>
      </c>
      <c r="D47" s="3" t="e">
        <f>#REF!+D48+#REF!+#REF!</f>
        <v>#REF!</v>
      </c>
      <c r="E47" s="3" t="e">
        <f>#REF!+E48+#REF!+#REF!</f>
        <v>#REF!</v>
      </c>
      <c r="F47" s="44">
        <v>73886.1</v>
      </c>
      <c r="G47" s="44">
        <v>4417.4</v>
      </c>
      <c r="H47" s="44">
        <f>SUM(H48:H57)</f>
        <v>0</v>
      </c>
      <c r="I47" s="44">
        <f>SUM(I48:I57)</f>
        <v>0</v>
      </c>
      <c r="J47" s="44">
        <v>73877.5</v>
      </c>
      <c r="K47" s="44">
        <f>SUM(K48:K57)</f>
        <v>381.4</v>
      </c>
      <c r="L47" s="44">
        <v>4408.8</v>
      </c>
      <c r="M47" s="44">
        <f t="shared" si="1"/>
        <v>8.60000000000582</v>
      </c>
      <c r="N47" s="44">
        <f t="shared" si="2"/>
        <v>8.599999999999454</v>
      </c>
      <c r="O47" s="71"/>
      <c r="P47" s="4"/>
      <c r="Q47" s="3" t="e">
        <f>Q48+#REF!+#REF!+#REF!+#REF!+#REF!+#REF!+#REF!+#REF!+#REF!+#REF!</f>
        <v>#REF!</v>
      </c>
      <c r="R47" s="4" t="e">
        <f>I47-Q47</f>
        <v>#REF!</v>
      </c>
      <c r="S47" s="4"/>
      <c r="T47" s="3">
        <f>T48+T51+281.1</f>
        <v>2741</v>
      </c>
      <c r="U47" s="23">
        <f>U48</f>
        <v>2459.9</v>
      </c>
      <c r="V47" s="38"/>
      <c r="W47" s="38"/>
      <c r="X47" s="35"/>
      <c r="Y47" s="35"/>
      <c r="Z47" s="38"/>
      <c r="AA47" s="38"/>
    </row>
    <row r="48" spans="1:27" ht="15.75">
      <c r="A48" s="66"/>
      <c r="B48" s="8" t="s">
        <v>114</v>
      </c>
      <c r="C48" s="17">
        <v>34430</v>
      </c>
      <c r="D48" s="14">
        <v>17500</v>
      </c>
      <c r="E48" s="14">
        <v>0</v>
      </c>
      <c r="F48" s="50">
        <v>478.1</v>
      </c>
      <c r="G48" s="50">
        <v>478.1</v>
      </c>
      <c r="H48" s="50"/>
      <c r="I48" s="50"/>
      <c r="J48" s="47">
        <v>478</v>
      </c>
      <c r="K48" s="47"/>
      <c r="L48" s="47">
        <v>478.1</v>
      </c>
      <c r="M48" s="44">
        <f t="shared" si="1"/>
        <v>0.10000000000002274</v>
      </c>
      <c r="N48" s="44">
        <f t="shared" si="2"/>
        <v>0</v>
      </c>
      <c r="O48" s="71"/>
      <c r="P48" s="4"/>
      <c r="Q48" s="4">
        <v>0</v>
      </c>
      <c r="R48" s="4">
        <f>I48-Q48</f>
        <v>0</v>
      </c>
      <c r="S48" s="4"/>
      <c r="T48" s="4">
        <v>2459.9</v>
      </c>
      <c r="U48" s="15">
        <v>2459.9</v>
      </c>
      <c r="V48" s="36"/>
      <c r="W48" s="36"/>
      <c r="X48" s="35"/>
      <c r="Y48" s="35"/>
      <c r="Z48" s="36"/>
      <c r="AA48" s="36"/>
    </row>
    <row r="49" spans="1:27" ht="39" hidden="1">
      <c r="A49" s="66"/>
      <c r="B49" s="8" t="s">
        <v>58</v>
      </c>
      <c r="C49" s="17"/>
      <c r="D49" s="14"/>
      <c r="E49" s="14"/>
      <c r="F49" s="50"/>
      <c r="G49" s="50"/>
      <c r="H49" s="50"/>
      <c r="I49" s="50"/>
      <c r="J49" s="47"/>
      <c r="K49" s="47"/>
      <c r="L49" s="47"/>
      <c r="M49" s="44">
        <f t="shared" si="1"/>
        <v>0</v>
      </c>
      <c r="N49" s="44">
        <f t="shared" si="2"/>
        <v>0</v>
      </c>
      <c r="O49" s="71"/>
      <c r="P49" s="4"/>
      <c r="Q49" s="4"/>
      <c r="R49" s="4"/>
      <c r="S49" s="4"/>
      <c r="T49" s="4"/>
      <c r="U49" s="15"/>
      <c r="V49" s="36"/>
      <c r="W49" s="36"/>
      <c r="X49" s="35"/>
      <c r="Y49" s="35"/>
      <c r="Z49" s="36"/>
      <c r="AA49" s="36"/>
    </row>
    <row r="50" spans="1:27" ht="26.25">
      <c r="A50" s="66"/>
      <c r="B50" s="8" t="s">
        <v>65</v>
      </c>
      <c r="C50" s="17"/>
      <c r="D50" s="14"/>
      <c r="E50" s="14"/>
      <c r="F50" s="50">
        <v>700</v>
      </c>
      <c r="G50" s="50">
        <v>700</v>
      </c>
      <c r="H50" s="50"/>
      <c r="I50" s="50"/>
      <c r="J50" s="47">
        <v>700</v>
      </c>
      <c r="K50" s="47"/>
      <c r="L50" s="47">
        <v>700</v>
      </c>
      <c r="M50" s="44">
        <f t="shared" si="1"/>
        <v>0</v>
      </c>
      <c r="N50" s="44">
        <f t="shared" si="2"/>
        <v>0</v>
      </c>
      <c r="O50" s="71"/>
      <c r="P50" s="4"/>
      <c r="Q50" s="4"/>
      <c r="R50" s="4"/>
      <c r="S50" s="4"/>
      <c r="T50" s="4"/>
      <c r="U50" s="15"/>
      <c r="V50" s="36"/>
      <c r="W50" s="36"/>
      <c r="X50" s="35"/>
      <c r="Y50" s="35"/>
      <c r="Z50" s="36"/>
      <c r="AA50" s="36"/>
    </row>
    <row r="51" spans="1:27" ht="15.75" hidden="1">
      <c r="A51" s="66"/>
      <c r="B51" s="8"/>
      <c r="C51" s="17"/>
      <c r="D51" s="14">
        <v>0</v>
      </c>
      <c r="E51" s="14">
        <v>0</v>
      </c>
      <c r="F51" s="50"/>
      <c r="G51" s="50"/>
      <c r="H51" s="50"/>
      <c r="I51" s="50"/>
      <c r="J51" s="47"/>
      <c r="K51" s="47"/>
      <c r="L51" s="47"/>
      <c r="M51" s="44">
        <f t="shared" si="1"/>
        <v>0</v>
      </c>
      <c r="N51" s="44">
        <f t="shared" si="2"/>
        <v>0</v>
      </c>
      <c r="O51" s="71"/>
      <c r="P51" s="4"/>
      <c r="Q51" s="4"/>
      <c r="R51" s="4"/>
      <c r="S51" s="4"/>
      <c r="T51" s="4"/>
      <c r="U51" s="15"/>
      <c r="V51" s="36"/>
      <c r="W51" s="36"/>
      <c r="X51" s="35"/>
      <c r="Y51" s="35"/>
      <c r="Z51" s="36"/>
      <c r="AA51" s="36"/>
    </row>
    <row r="52" spans="1:27" ht="15.75" hidden="1">
      <c r="A52" s="66"/>
      <c r="B52" s="8"/>
      <c r="C52" s="17"/>
      <c r="D52" s="14"/>
      <c r="E52" s="14"/>
      <c r="F52" s="50"/>
      <c r="G52" s="50"/>
      <c r="H52" s="50"/>
      <c r="I52" s="50"/>
      <c r="J52" s="47"/>
      <c r="K52" s="47"/>
      <c r="L52" s="47"/>
      <c r="M52" s="44">
        <f t="shared" si="1"/>
        <v>0</v>
      </c>
      <c r="N52" s="44">
        <f t="shared" si="2"/>
        <v>0</v>
      </c>
      <c r="O52" s="71"/>
      <c r="P52" s="4"/>
      <c r="Q52" s="4"/>
      <c r="R52" s="4"/>
      <c r="S52" s="4"/>
      <c r="T52" s="4"/>
      <c r="U52" s="15"/>
      <c r="V52" s="36"/>
      <c r="W52" s="36"/>
      <c r="X52" s="35"/>
      <c r="Y52" s="35"/>
      <c r="Z52" s="36"/>
      <c r="AA52" s="36"/>
    </row>
    <row r="53" spans="1:27" ht="15.75" hidden="1">
      <c r="A53" s="66"/>
      <c r="B53" s="8"/>
      <c r="C53" s="17"/>
      <c r="D53" s="14"/>
      <c r="E53" s="14"/>
      <c r="F53" s="50"/>
      <c r="G53" s="50"/>
      <c r="H53" s="50"/>
      <c r="I53" s="50"/>
      <c r="J53" s="47"/>
      <c r="K53" s="47"/>
      <c r="L53" s="47"/>
      <c r="M53" s="44">
        <f t="shared" si="1"/>
        <v>0</v>
      </c>
      <c r="N53" s="44">
        <f t="shared" si="2"/>
        <v>0</v>
      </c>
      <c r="O53" s="71"/>
      <c r="P53" s="4"/>
      <c r="Q53" s="4"/>
      <c r="R53" s="4"/>
      <c r="S53" s="4"/>
      <c r="T53" s="4"/>
      <c r="U53" s="15"/>
      <c r="V53" s="36"/>
      <c r="W53" s="36"/>
      <c r="X53" s="35"/>
      <c r="Y53" s="35"/>
      <c r="Z53" s="36"/>
      <c r="AA53" s="36"/>
    </row>
    <row r="54" spans="1:27" ht="26.25">
      <c r="A54" s="66"/>
      <c r="B54" s="8" t="s">
        <v>115</v>
      </c>
      <c r="C54" s="17"/>
      <c r="D54" s="14"/>
      <c r="E54" s="14"/>
      <c r="F54" s="50">
        <f>69468.7+381.4</f>
        <v>69850.09999999999</v>
      </c>
      <c r="G54" s="50">
        <v>381.4</v>
      </c>
      <c r="H54" s="50"/>
      <c r="I54" s="50"/>
      <c r="J54" s="47">
        <v>69850.09999999999</v>
      </c>
      <c r="K54" s="47">
        <v>381.4</v>
      </c>
      <c r="L54" s="47">
        <v>381.4</v>
      </c>
      <c r="M54" s="44">
        <f t="shared" si="1"/>
        <v>0</v>
      </c>
      <c r="N54" s="44">
        <f t="shared" si="2"/>
        <v>0</v>
      </c>
      <c r="O54" s="71"/>
      <c r="P54" s="4"/>
      <c r="Q54" s="4"/>
      <c r="R54" s="4"/>
      <c r="S54" s="4"/>
      <c r="T54" s="4"/>
      <c r="U54" s="15"/>
      <c r="V54" s="36"/>
      <c r="W54" s="36"/>
      <c r="X54" s="35"/>
      <c r="Y54" s="35"/>
      <c r="Z54" s="36"/>
      <c r="AA54" s="36"/>
    </row>
    <row r="55" spans="1:27" ht="26.25" hidden="1">
      <c r="A55" s="66"/>
      <c r="B55" s="8" t="s">
        <v>64</v>
      </c>
      <c r="C55" s="17"/>
      <c r="D55" s="14"/>
      <c r="E55" s="14"/>
      <c r="F55" s="50"/>
      <c r="G55" s="50"/>
      <c r="H55" s="50"/>
      <c r="I55" s="50"/>
      <c r="J55" s="47"/>
      <c r="K55" s="47"/>
      <c r="L55" s="47"/>
      <c r="M55" s="44">
        <f t="shared" si="1"/>
        <v>0</v>
      </c>
      <c r="N55" s="44">
        <f t="shared" si="2"/>
        <v>0</v>
      </c>
      <c r="O55" s="71"/>
      <c r="P55" s="4"/>
      <c r="Q55" s="4"/>
      <c r="R55" s="4"/>
      <c r="S55" s="4"/>
      <c r="T55" s="4"/>
      <c r="U55" s="15"/>
      <c r="V55" s="36"/>
      <c r="W55" s="36"/>
      <c r="X55" s="35"/>
      <c r="Y55" s="35"/>
      <c r="Z55" s="36"/>
      <c r="AA55" s="36"/>
    </row>
    <row r="56" spans="1:27" ht="26.25" hidden="1">
      <c r="A56" s="66"/>
      <c r="B56" s="8" t="s">
        <v>59</v>
      </c>
      <c r="C56" s="17"/>
      <c r="D56" s="14"/>
      <c r="E56" s="14"/>
      <c r="F56" s="50"/>
      <c r="G56" s="50"/>
      <c r="H56" s="50"/>
      <c r="I56" s="50"/>
      <c r="J56" s="47"/>
      <c r="K56" s="47"/>
      <c r="L56" s="47"/>
      <c r="M56" s="44">
        <f t="shared" si="1"/>
        <v>0</v>
      </c>
      <c r="N56" s="44">
        <f t="shared" si="2"/>
        <v>0</v>
      </c>
      <c r="O56" s="71"/>
      <c r="P56" s="4"/>
      <c r="Q56" s="4"/>
      <c r="R56" s="4"/>
      <c r="S56" s="4"/>
      <c r="T56" s="4"/>
      <c r="U56" s="15"/>
      <c r="V56" s="36"/>
      <c r="W56" s="36"/>
      <c r="X56" s="35"/>
      <c r="Y56" s="35"/>
      <c r="Z56" s="36"/>
      <c r="AA56" s="36"/>
    </row>
    <row r="57" spans="1:27" ht="26.25">
      <c r="A57" s="66"/>
      <c r="B57" s="8" t="s">
        <v>91</v>
      </c>
      <c r="C57" s="17"/>
      <c r="D57" s="14"/>
      <c r="E57" s="14"/>
      <c r="F57" s="50">
        <v>2669.2</v>
      </c>
      <c r="G57" s="50">
        <v>2669.2</v>
      </c>
      <c r="H57" s="50"/>
      <c r="I57" s="50"/>
      <c r="J57" s="47">
        <v>2660.6</v>
      </c>
      <c r="K57" s="47"/>
      <c r="L57" s="47">
        <v>2660.6</v>
      </c>
      <c r="M57" s="68">
        <f t="shared" si="1"/>
        <v>8.599999999999909</v>
      </c>
      <c r="N57" s="68">
        <f t="shared" si="2"/>
        <v>8.599999999999909</v>
      </c>
      <c r="O57" s="71" t="s">
        <v>102</v>
      </c>
      <c r="P57" s="4"/>
      <c r="Q57" s="4"/>
      <c r="R57" s="4"/>
      <c r="S57" s="4"/>
      <c r="T57" s="4"/>
      <c r="U57" s="15"/>
      <c r="V57" s="36"/>
      <c r="W57" s="36"/>
      <c r="X57" s="35"/>
      <c r="Y57" s="35"/>
      <c r="Z57" s="36"/>
      <c r="AA57" s="36"/>
    </row>
    <row r="58" spans="1:27" ht="15.75">
      <c r="A58" s="66" t="s">
        <v>81</v>
      </c>
      <c r="B58" s="61" t="s">
        <v>9</v>
      </c>
      <c r="C58" s="9" t="e">
        <f>C60+#REF!+#REF!</f>
        <v>#REF!</v>
      </c>
      <c r="D58" s="9" t="e">
        <f>D60+#REF!</f>
        <v>#REF!</v>
      </c>
      <c r="E58" s="9" t="e">
        <f>E60+#REF!</f>
        <v>#REF!</v>
      </c>
      <c r="F58" s="42">
        <v>929.4</v>
      </c>
      <c r="G58" s="42">
        <v>586.1</v>
      </c>
      <c r="H58" s="42">
        <f>H60</f>
        <v>0</v>
      </c>
      <c r="I58" s="42">
        <f>I60</f>
        <v>0</v>
      </c>
      <c r="J58" s="42">
        <v>907.3</v>
      </c>
      <c r="K58" s="42">
        <f>K60</f>
        <v>0</v>
      </c>
      <c r="L58" s="42">
        <v>586.1</v>
      </c>
      <c r="M58" s="44">
        <f t="shared" si="1"/>
        <v>22.100000000000023</v>
      </c>
      <c r="N58" s="44">
        <f t="shared" si="2"/>
        <v>0</v>
      </c>
      <c r="O58" s="71"/>
      <c r="P58" s="4"/>
      <c r="Q58" s="9" t="e">
        <f>Q60+#REF!+#REF!</f>
        <v>#REF!</v>
      </c>
      <c r="R58" s="9" t="e">
        <f>R60+#REF!+#REF!</f>
        <v>#REF!</v>
      </c>
      <c r="S58" s="4"/>
      <c r="T58" s="3"/>
      <c r="U58" s="23"/>
      <c r="V58" s="40"/>
      <c r="W58" s="40"/>
      <c r="X58" s="35"/>
      <c r="Y58" s="35"/>
      <c r="Z58" s="40"/>
      <c r="AA58" s="40"/>
    </row>
    <row r="59" spans="1:25" ht="15.75">
      <c r="A59" s="66"/>
      <c r="B59" s="62" t="s">
        <v>0</v>
      </c>
      <c r="C59" s="16"/>
      <c r="D59" s="4"/>
      <c r="E59" s="4"/>
      <c r="F59" s="47"/>
      <c r="G59" s="47"/>
      <c r="H59" s="47"/>
      <c r="I59" s="47"/>
      <c r="J59" s="47"/>
      <c r="K59" s="47"/>
      <c r="L59" s="47"/>
      <c r="M59" s="44">
        <f t="shared" si="1"/>
        <v>0</v>
      </c>
      <c r="N59" s="44">
        <f t="shared" si="2"/>
        <v>0</v>
      </c>
      <c r="O59" s="71"/>
      <c r="P59" s="4"/>
      <c r="Q59" s="4"/>
      <c r="R59" s="4">
        <f>I59-Q59</f>
        <v>0</v>
      </c>
      <c r="S59" s="4"/>
      <c r="T59" s="4"/>
      <c r="U59" s="15"/>
      <c r="X59" s="35"/>
      <c r="Y59" s="35"/>
    </row>
    <row r="60" spans="1:25" ht="15.75">
      <c r="A60" s="66"/>
      <c r="B60" s="8" t="s">
        <v>73</v>
      </c>
      <c r="C60" s="17">
        <v>1123.8</v>
      </c>
      <c r="D60" s="7">
        <v>1553.5</v>
      </c>
      <c r="E60" s="7">
        <v>1553.5</v>
      </c>
      <c r="F60" s="48">
        <v>224.9</v>
      </c>
      <c r="G60" s="48">
        <v>21.7</v>
      </c>
      <c r="H60" s="48"/>
      <c r="I60" s="48"/>
      <c r="J60" s="47">
        <v>202.8</v>
      </c>
      <c r="K60" s="47"/>
      <c r="L60" s="47">
        <v>21.7</v>
      </c>
      <c r="M60" s="68">
        <f t="shared" si="1"/>
        <v>22.099999999999994</v>
      </c>
      <c r="N60" s="68">
        <f t="shared" si="2"/>
        <v>0</v>
      </c>
      <c r="O60" s="71"/>
      <c r="P60" s="4"/>
      <c r="Q60" s="26">
        <v>1123.8</v>
      </c>
      <c r="R60" s="4">
        <f>I60-Q60</f>
        <v>-1123.8</v>
      </c>
      <c r="S60" s="4"/>
      <c r="T60" s="4"/>
      <c r="U60" s="15"/>
      <c r="X60" s="35"/>
      <c r="Y60" s="35"/>
    </row>
    <row r="61" spans="1:25" ht="15.75">
      <c r="A61" s="66"/>
      <c r="B61" s="8" t="s">
        <v>116</v>
      </c>
      <c r="C61" s="17"/>
      <c r="D61" s="7"/>
      <c r="E61" s="7"/>
      <c r="F61" s="48">
        <v>175.3</v>
      </c>
      <c r="G61" s="48">
        <v>35.1</v>
      </c>
      <c r="H61" s="48"/>
      <c r="I61" s="48"/>
      <c r="J61" s="47">
        <v>175.3</v>
      </c>
      <c r="K61" s="47"/>
      <c r="L61" s="47">
        <v>35.1</v>
      </c>
      <c r="M61" s="68">
        <f t="shared" si="1"/>
        <v>0</v>
      </c>
      <c r="N61" s="68">
        <f t="shared" si="2"/>
        <v>0</v>
      </c>
      <c r="O61" s="71"/>
      <c r="P61" s="4"/>
      <c r="Q61" s="26"/>
      <c r="R61" s="4"/>
      <c r="S61" s="4"/>
      <c r="T61" s="4"/>
      <c r="U61" s="15"/>
      <c r="X61" s="35"/>
      <c r="Y61" s="35"/>
    </row>
    <row r="62" spans="1:27" ht="15.75">
      <c r="A62" s="66" t="s">
        <v>82</v>
      </c>
      <c r="B62" s="56" t="s">
        <v>10</v>
      </c>
      <c r="C62" s="3" t="e">
        <f>C63+C64+#REF!+C65+C66+C67</f>
        <v>#REF!</v>
      </c>
      <c r="D62" s="3" t="e">
        <f>D63+D64+#REF!+D65+D66+D67+#REF!</f>
        <v>#REF!</v>
      </c>
      <c r="E62" s="3" t="e">
        <f>E63+E64+#REF!+E65+E66+E67+#REF!</f>
        <v>#REF!</v>
      </c>
      <c r="F62" s="44">
        <v>388415.8</v>
      </c>
      <c r="G62" s="44">
        <v>146906.4</v>
      </c>
      <c r="H62" s="44" t="e">
        <f>H63+H64+#REF!+H65+H66+H67</f>
        <v>#REF!</v>
      </c>
      <c r="I62" s="44" t="e">
        <f>I63+I64+#REF!+I65+I66+I67</f>
        <v>#REF!</v>
      </c>
      <c r="J62" s="44">
        <v>388406.4</v>
      </c>
      <c r="K62" s="44" t="e">
        <f>K63+K64+#REF!+K65+K66+K67</f>
        <v>#REF!</v>
      </c>
      <c r="L62" s="44">
        <v>146896.9</v>
      </c>
      <c r="M62" s="44">
        <f t="shared" si="1"/>
        <v>9.399999999965075</v>
      </c>
      <c r="N62" s="44">
        <f t="shared" si="2"/>
        <v>9.5</v>
      </c>
      <c r="O62" s="71"/>
      <c r="P62" s="4"/>
      <c r="Q62" s="3" t="e">
        <f>Q63+Q64+#REF!+Q65+Q66+Q67</f>
        <v>#REF!</v>
      </c>
      <c r="R62" s="3" t="e">
        <f>R63+R64+#REF!+R65+R66+R67</f>
        <v>#REF!</v>
      </c>
      <c r="S62" s="3" t="e">
        <f>S63+S64+#REF!+S65+S66+S67</f>
        <v>#REF!</v>
      </c>
      <c r="T62" s="3">
        <f>16556.9+T67-734-483.3</f>
        <v>15352.600000000002</v>
      </c>
      <c r="U62" s="23">
        <v>13165.7</v>
      </c>
      <c r="V62" s="35"/>
      <c r="W62" s="35"/>
      <c r="X62" s="35"/>
      <c r="Y62" s="35"/>
      <c r="Z62" s="35"/>
      <c r="AA62" s="35"/>
    </row>
    <row r="63" spans="1:25" ht="15.75">
      <c r="A63" s="66"/>
      <c r="B63" s="8" t="s">
        <v>11</v>
      </c>
      <c r="C63" s="17">
        <v>84999</v>
      </c>
      <c r="D63" s="7">
        <v>122493.1</v>
      </c>
      <c r="E63" s="7">
        <v>104718.2</v>
      </c>
      <c r="F63" s="48">
        <v>115398.2</v>
      </c>
      <c r="G63" s="48">
        <v>25384.3</v>
      </c>
      <c r="H63" s="48"/>
      <c r="I63" s="48"/>
      <c r="J63" s="47">
        <v>115398.2</v>
      </c>
      <c r="K63" s="47"/>
      <c r="L63" s="47">
        <v>25384.3</v>
      </c>
      <c r="M63" s="44">
        <f t="shared" si="1"/>
        <v>0</v>
      </c>
      <c r="N63" s="44">
        <f t="shared" si="2"/>
        <v>0</v>
      </c>
      <c r="O63" s="71"/>
      <c r="P63" s="4"/>
      <c r="Q63" s="26">
        <v>103584.8</v>
      </c>
      <c r="R63" s="4">
        <f aca="true" t="shared" si="3" ref="R63:R69">I63-Q63</f>
        <v>-103584.8</v>
      </c>
      <c r="S63" s="4">
        <f>2683.1+2327.7</f>
        <v>5010.799999999999</v>
      </c>
      <c r="T63" s="4"/>
      <c r="U63" s="15"/>
      <c r="X63" s="35"/>
      <c r="Y63" s="35"/>
    </row>
    <row r="64" spans="1:25" ht="15.75">
      <c r="A64" s="66"/>
      <c r="B64" s="8" t="s">
        <v>12</v>
      </c>
      <c r="C64" s="17">
        <v>174984.6</v>
      </c>
      <c r="D64" s="7">
        <f>236132.8-13926.6</f>
        <v>222206.19999999998</v>
      </c>
      <c r="E64" s="7">
        <f>66473.3-13926.6</f>
        <v>52546.700000000004</v>
      </c>
      <c r="F64" s="48">
        <v>220607.9</v>
      </c>
      <c r="G64" s="48">
        <v>72602.4</v>
      </c>
      <c r="H64" s="48"/>
      <c r="I64" s="48"/>
      <c r="J64" s="47">
        <v>220607.9</v>
      </c>
      <c r="K64" s="47"/>
      <c r="L64" s="47">
        <v>72602.4</v>
      </c>
      <c r="M64" s="44">
        <f t="shared" si="1"/>
        <v>0</v>
      </c>
      <c r="N64" s="44">
        <f t="shared" si="2"/>
        <v>0</v>
      </c>
      <c r="O64" s="71"/>
      <c r="P64" s="4"/>
      <c r="Q64" s="26">
        <v>61122.1</v>
      </c>
      <c r="R64" s="4">
        <f t="shared" si="3"/>
        <v>-61122.1</v>
      </c>
      <c r="S64" s="4"/>
      <c r="T64" s="4"/>
      <c r="U64" s="15"/>
      <c r="X64" s="35"/>
      <c r="Y64" s="35"/>
    </row>
    <row r="65" spans="1:25" ht="15.75">
      <c r="A65" s="66"/>
      <c r="B65" s="8" t="s">
        <v>66</v>
      </c>
      <c r="C65" s="17">
        <v>6532.7</v>
      </c>
      <c r="D65" s="7">
        <v>9931.3</v>
      </c>
      <c r="E65" s="7">
        <v>9881.3</v>
      </c>
      <c r="F65" s="48">
        <v>27920.7</v>
      </c>
      <c r="G65" s="48">
        <v>23056.3</v>
      </c>
      <c r="H65" s="48"/>
      <c r="I65" s="48"/>
      <c r="J65" s="47">
        <v>27920.7</v>
      </c>
      <c r="K65" s="47"/>
      <c r="L65" s="47">
        <v>23056.3</v>
      </c>
      <c r="M65" s="44">
        <f t="shared" si="1"/>
        <v>0</v>
      </c>
      <c r="N65" s="44">
        <f t="shared" si="2"/>
        <v>0</v>
      </c>
      <c r="O65" s="71"/>
      <c r="P65" s="4"/>
      <c r="Q65" s="4">
        <v>9804.1</v>
      </c>
      <c r="R65" s="4">
        <f t="shared" si="3"/>
        <v>-9804.1</v>
      </c>
      <c r="S65" s="4">
        <v>213.1</v>
      </c>
      <c r="T65" s="4"/>
      <c r="U65" s="15"/>
      <c r="X65" s="35"/>
      <c r="Y65" s="35"/>
    </row>
    <row r="66" spans="1:25" ht="15.75">
      <c r="A66" s="66"/>
      <c r="B66" s="8" t="s">
        <v>67</v>
      </c>
      <c r="C66" s="17">
        <v>9867.6</v>
      </c>
      <c r="D66" s="7">
        <v>7542.9</v>
      </c>
      <c r="E66" s="7">
        <v>515.6</v>
      </c>
      <c r="F66" s="48">
        <v>2040.5</v>
      </c>
      <c r="G66" s="48">
        <v>2040.5</v>
      </c>
      <c r="H66" s="48"/>
      <c r="I66" s="48"/>
      <c r="J66" s="47">
        <v>2040.5</v>
      </c>
      <c r="K66" s="47"/>
      <c r="L66" s="47">
        <v>2040.5</v>
      </c>
      <c r="M66" s="44">
        <f t="shared" si="1"/>
        <v>0</v>
      </c>
      <c r="N66" s="44">
        <f t="shared" si="2"/>
        <v>0</v>
      </c>
      <c r="O66" s="71"/>
      <c r="P66" s="4"/>
      <c r="Q66" s="4">
        <f>1390.1-573.1</f>
        <v>816.9999999999999</v>
      </c>
      <c r="R66" s="4">
        <f t="shared" si="3"/>
        <v>-816.9999999999999</v>
      </c>
      <c r="S66" s="4"/>
      <c r="T66" s="4"/>
      <c r="U66" s="15"/>
      <c r="X66" s="35"/>
      <c r="Y66" s="35"/>
    </row>
    <row r="67" spans="1:25" ht="25.5">
      <c r="A67" s="66"/>
      <c r="B67" s="8" t="s">
        <v>92</v>
      </c>
      <c r="C67" s="17">
        <v>11461.1</v>
      </c>
      <c r="D67" s="7">
        <v>14570.9</v>
      </c>
      <c r="E67" s="7">
        <v>13716.2</v>
      </c>
      <c r="F67" s="48">
        <f>22448.6-0.1</f>
        <v>22448.5</v>
      </c>
      <c r="G67" s="48">
        <v>22395.3</v>
      </c>
      <c r="H67" s="48"/>
      <c r="I67" s="48"/>
      <c r="J67" s="47">
        <f>22439.2-0.1</f>
        <v>22439.100000000002</v>
      </c>
      <c r="K67" s="47"/>
      <c r="L67" s="47">
        <v>22385.8</v>
      </c>
      <c r="M67" s="68">
        <f t="shared" si="1"/>
        <v>9.399999999997817</v>
      </c>
      <c r="N67" s="68">
        <f t="shared" si="2"/>
        <v>9.5</v>
      </c>
      <c r="O67" s="71" t="s">
        <v>103</v>
      </c>
      <c r="P67" s="4"/>
      <c r="Q67" s="26">
        <v>12751.4</v>
      </c>
      <c r="R67" s="4">
        <f t="shared" si="3"/>
        <v>-12751.4</v>
      </c>
      <c r="S67" s="4"/>
      <c r="T67" s="4">
        <v>13</v>
      </c>
      <c r="U67" s="15"/>
      <c r="X67" s="35"/>
      <c r="Y67" s="35"/>
    </row>
    <row r="68" spans="1:27" ht="31.5">
      <c r="A68" s="66" t="s">
        <v>83</v>
      </c>
      <c r="B68" s="56" t="s">
        <v>13</v>
      </c>
      <c r="C68" s="3">
        <f aca="true" t="shared" si="4" ref="C68:K68">C69</f>
        <v>23372.8</v>
      </c>
      <c r="D68" s="3">
        <f t="shared" si="4"/>
        <v>23220.2</v>
      </c>
      <c r="E68" s="3">
        <f t="shared" si="4"/>
        <v>20037.7</v>
      </c>
      <c r="F68" s="44">
        <v>41235.3</v>
      </c>
      <c r="G68" s="44">
        <v>34661.7</v>
      </c>
      <c r="H68" s="44">
        <f t="shared" si="4"/>
        <v>0</v>
      </c>
      <c r="I68" s="44">
        <f t="shared" si="4"/>
        <v>0</v>
      </c>
      <c r="J68" s="44">
        <v>41235.3</v>
      </c>
      <c r="K68" s="44">
        <f t="shared" si="4"/>
        <v>0</v>
      </c>
      <c r="L68" s="44">
        <v>34661.7</v>
      </c>
      <c r="M68" s="44">
        <f t="shared" si="1"/>
        <v>0</v>
      </c>
      <c r="N68" s="44">
        <f t="shared" si="2"/>
        <v>0</v>
      </c>
      <c r="O68" s="71"/>
      <c r="P68" s="4"/>
      <c r="Q68" s="3">
        <f>Q69</f>
        <v>19899.4</v>
      </c>
      <c r="R68" s="4">
        <f t="shared" si="3"/>
        <v>-19899.4</v>
      </c>
      <c r="S68" s="3">
        <f>S69</f>
        <v>348.1</v>
      </c>
      <c r="T68" s="3">
        <f>T69</f>
        <v>948.6</v>
      </c>
      <c r="U68" s="23">
        <v>1413</v>
      </c>
      <c r="V68" s="35"/>
      <c r="W68" s="35"/>
      <c r="X68" s="35"/>
      <c r="Y68" s="35"/>
      <c r="Z68" s="35"/>
      <c r="AA68" s="35"/>
    </row>
    <row r="69" spans="1:25" ht="15.75">
      <c r="A69" s="66"/>
      <c r="B69" s="8" t="s">
        <v>14</v>
      </c>
      <c r="C69" s="17">
        <v>23372.8</v>
      </c>
      <c r="D69" s="7">
        <v>23220.2</v>
      </c>
      <c r="E69" s="7">
        <v>20037.7</v>
      </c>
      <c r="F69" s="48"/>
      <c r="G69" s="48"/>
      <c r="H69" s="48"/>
      <c r="I69" s="48"/>
      <c r="J69" s="47"/>
      <c r="K69" s="47"/>
      <c r="L69" s="47"/>
      <c r="M69" s="44">
        <f aca="true" t="shared" si="5" ref="M69:M91">F69-J69</f>
        <v>0</v>
      </c>
      <c r="N69" s="44">
        <f aca="true" t="shared" si="6" ref="N69:N91">G69-L69</f>
        <v>0</v>
      </c>
      <c r="O69" s="71"/>
      <c r="P69" s="4"/>
      <c r="Q69" s="4">
        <v>19899.4</v>
      </c>
      <c r="R69" s="4">
        <f t="shared" si="3"/>
        <v>-19899.4</v>
      </c>
      <c r="S69" s="4">
        <v>348.1</v>
      </c>
      <c r="T69" s="4">
        <v>948.6</v>
      </c>
      <c r="U69" s="15">
        <f>1413</f>
        <v>1413</v>
      </c>
      <c r="X69" s="35"/>
      <c r="Y69" s="35"/>
    </row>
    <row r="70" spans="1:27" ht="15.75">
      <c r="A70" s="66" t="s">
        <v>84</v>
      </c>
      <c r="B70" s="56" t="s">
        <v>31</v>
      </c>
      <c r="C70" s="32"/>
      <c r="D70" s="24" t="e">
        <f>D71+#REF!</f>
        <v>#REF!</v>
      </c>
      <c r="E70" s="24" t="e">
        <f>E71+#REF!</f>
        <v>#REF!</v>
      </c>
      <c r="F70" s="44">
        <v>341.7</v>
      </c>
      <c r="G70" s="44">
        <v>56</v>
      </c>
      <c r="H70" s="44">
        <f>H71</f>
        <v>0</v>
      </c>
      <c r="I70" s="44">
        <f>I71</f>
        <v>0</v>
      </c>
      <c r="J70" s="44">
        <v>325.7</v>
      </c>
      <c r="K70" s="44">
        <f>K71</f>
        <v>0</v>
      </c>
      <c r="L70" s="44">
        <v>40</v>
      </c>
      <c r="M70" s="44">
        <f t="shared" si="5"/>
        <v>16</v>
      </c>
      <c r="N70" s="44">
        <f t="shared" si="6"/>
        <v>16</v>
      </c>
      <c r="O70" s="71"/>
      <c r="P70" s="4"/>
      <c r="Q70" s="4"/>
      <c r="R70" s="4"/>
      <c r="S70" s="4"/>
      <c r="T70" s="3" t="e">
        <f>T71+#REF!</f>
        <v>#REF!</v>
      </c>
      <c r="U70" s="23" t="e">
        <f>#REF!</f>
        <v>#REF!</v>
      </c>
      <c r="V70" s="40"/>
      <c r="W70" s="40"/>
      <c r="X70" s="35"/>
      <c r="Y70" s="35"/>
      <c r="Z70" s="40"/>
      <c r="AA70" s="40"/>
    </row>
    <row r="71" spans="1:25" ht="15.75">
      <c r="A71" s="66"/>
      <c r="B71" s="30" t="s">
        <v>93</v>
      </c>
      <c r="C71" s="17"/>
      <c r="D71" s="7">
        <v>809.5</v>
      </c>
      <c r="E71" s="7">
        <v>0</v>
      </c>
      <c r="F71" s="48">
        <v>56</v>
      </c>
      <c r="G71" s="48">
        <v>56</v>
      </c>
      <c r="H71" s="48"/>
      <c r="I71" s="48"/>
      <c r="J71" s="47">
        <v>40</v>
      </c>
      <c r="K71" s="47"/>
      <c r="L71" s="47">
        <v>40</v>
      </c>
      <c r="M71" s="68">
        <f t="shared" si="5"/>
        <v>16</v>
      </c>
      <c r="N71" s="68">
        <f t="shared" si="6"/>
        <v>16</v>
      </c>
      <c r="O71" s="71" t="s">
        <v>104</v>
      </c>
      <c r="P71" s="4"/>
      <c r="Q71" s="4"/>
      <c r="R71" s="4"/>
      <c r="S71" s="4"/>
      <c r="T71" s="4">
        <v>196.8</v>
      </c>
      <c r="U71" s="15"/>
      <c r="X71" s="35"/>
      <c r="Y71" s="35"/>
    </row>
    <row r="72" spans="1:27" ht="15.75">
      <c r="A72" s="66" t="s">
        <v>85</v>
      </c>
      <c r="B72" s="56" t="s">
        <v>15</v>
      </c>
      <c r="C72" s="3">
        <f aca="true" t="shared" si="7" ref="C72:K72">C73+C74+C75+C83+C84</f>
        <v>186297.5</v>
      </c>
      <c r="D72" s="3">
        <f t="shared" si="7"/>
        <v>239338.90000000002</v>
      </c>
      <c r="E72" s="3">
        <f t="shared" si="7"/>
        <v>10150.4</v>
      </c>
      <c r="F72" s="44">
        <v>19969</v>
      </c>
      <c r="G72" s="44">
        <v>9093.9</v>
      </c>
      <c r="H72" s="44">
        <f t="shared" si="7"/>
        <v>0</v>
      </c>
      <c r="I72" s="44">
        <f t="shared" si="7"/>
        <v>0</v>
      </c>
      <c r="J72" s="44">
        <v>19283.5</v>
      </c>
      <c r="K72" s="44">
        <f t="shared" si="7"/>
        <v>6342.4</v>
      </c>
      <c r="L72" s="44">
        <v>8776.7</v>
      </c>
      <c r="M72" s="44">
        <f t="shared" si="5"/>
        <v>685.5</v>
      </c>
      <c r="N72" s="44">
        <f t="shared" si="6"/>
        <v>317.1999999999989</v>
      </c>
      <c r="O72" s="71"/>
      <c r="P72" s="4"/>
      <c r="Q72" s="3">
        <f>Q73+Q74+Q75+Q83+Q84</f>
        <v>7347.799999999999</v>
      </c>
      <c r="R72" s="3">
        <f>R73+R74+R75+R83+R84</f>
        <v>-7347.799999999999</v>
      </c>
      <c r="S72" s="4"/>
      <c r="T72" s="3" t="e">
        <f>T73+T74+T75+T83+T84</f>
        <v>#REF!</v>
      </c>
      <c r="U72" s="23"/>
      <c r="V72" s="35"/>
      <c r="W72" s="35"/>
      <c r="X72" s="35"/>
      <c r="Y72" s="35"/>
      <c r="Z72" s="35"/>
      <c r="AA72" s="35"/>
    </row>
    <row r="73" spans="1:25" ht="15.75">
      <c r="A73" s="66"/>
      <c r="B73" s="8" t="s">
        <v>119</v>
      </c>
      <c r="C73" s="17">
        <v>4335.8</v>
      </c>
      <c r="D73" s="7">
        <v>5400</v>
      </c>
      <c r="E73" s="7">
        <v>5400</v>
      </c>
      <c r="F73" s="48">
        <f>6161+181.4</f>
        <v>6342.4</v>
      </c>
      <c r="G73" s="48">
        <f>6161+181.4</f>
        <v>6342.4</v>
      </c>
      <c r="H73" s="48"/>
      <c r="I73" s="48"/>
      <c r="J73" s="47">
        <f>6161+181.4</f>
        <v>6342.4</v>
      </c>
      <c r="K73" s="47">
        <f>6161+181.4</f>
        <v>6342.4</v>
      </c>
      <c r="L73" s="47">
        <f>6161+181.4</f>
        <v>6342.4</v>
      </c>
      <c r="M73" s="44">
        <f>F73-J73</f>
        <v>0</v>
      </c>
      <c r="N73" s="44">
        <f t="shared" si="6"/>
        <v>0</v>
      </c>
      <c r="O73" s="71"/>
      <c r="P73" s="4"/>
      <c r="Q73" s="4">
        <f>4332.2+261.2+57.7</f>
        <v>4651.099999999999</v>
      </c>
      <c r="R73" s="4">
        <f aca="true" t="shared" si="8" ref="R73:R81">I73-Q73</f>
        <v>-4651.099999999999</v>
      </c>
      <c r="S73" s="4"/>
      <c r="T73" s="4"/>
      <c r="U73" s="15"/>
      <c r="X73" s="35"/>
      <c r="Y73" s="35"/>
    </row>
    <row r="74" spans="1:25" ht="15.75" hidden="1">
      <c r="A74" s="66"/>
      <c r="B74" s="8" t="s">
        <v>16</v>
      </c>
      <c r="C74" s="17">
        <v>25872.4</v>
      </c>
      <c r="D74" s="7">
        <v>26480.5</v>
      </c>
      <c r="E74" s="7">
        <v>0</v>
      </c>
      <c r="F74" s="48"/>
      <c r="G74" s="48"/>
      <c r="H74" s="48"/>
      <c r="I74" s="48"/>
      <c r="J74" s="47"/>
      <c r="K74" s="47"/>
      <c r="L74" s="47"/>
      <c r="M74" s="44">
        <f t="shared" si="5"/>
        <v>0</v>
      </c>
      <c r="N74" s="44">
        <f t="shared" si="6"/>
        <v>0</v>
      </c>
      <c r="O74" s="71"/>
      <c r="P74" s="4"/>
      <c r="Q74" s="4">
        <v>12</v>
      </c>
      <c r="R74" s="4">
        <f t="shared" si="8"/>
        <v>-12</v>
      </c>
      <c r="S74" s="4"/>
      <c r="T74" s="4"/>
      <c r="U74" s="15"/>
      <c r="X74" s="35"/>
      <c r="Y74" s="35"/>
    </row>
    <row r="75" spans="1:25" ht="15.75" hidden="1">
      <c r="A75" s="66"/>
      <c r="B75" s="8" t="s">
        <v>17</v>
      </c>
      <c r="C75" s="17">
        <v>103315.7</v>
      </c>
      <c r="D75" s="7">
        <v>143895.4</v>
      </c>
      <c r="E75" s="7">
        <v>4556.9</v>
      </c>
      <c r="F75" s="48"/>
      <c r="G75" s="48"/>
      <c r="H75" s="48"/>
      <c r="I75" s="48"/>
      <c r="J75" s="48"/>
      <c r="K75" s="48"/>
      <c r="L75" s="48"/>
      <c r="M75" s="44">
        <f t="shared" si="5"/>
        <v>0</v>
      </c>
      <c r="N75" s="44">
        <f t="shared" si="6"/>
        <v>0</v>
      </c>
      <c r="O75" s="71"/>
      <c r="P75" s="4"/>
      <c r="Q75" s="4">
        <v>2684.7</v>
      </c>
      <c r="R75" s="4">
        <f t="shared" si="8"/>
        <v>-2684.7</v>
      </c>
      <c r="S75" s="4"/>
      <c r="T75" s="4" t="e">
        <f>T77+T79+T80+#REF!</f>
        <v>#REF!</v>
      </c>
      <c r="U75" s="15"/>
      <c r="X75" s="35"/>
      <c r="Y75" s="35"/>
    </row>
    <row r="76" spans="1:25" ht="15.75">
      <c r="A76" s="66"/>
      <c r="B76" s="8" t="s">
        <v>118</v>
      </c>
      <c r="C76" s="17"/>
      <c r="D76" s="7"/>
      <c r="E76" s="7"/>
      <c r="F76" s="48">
        <v>1910.3</v>
      </c>
      <c r="G76" s="48">
        <v>0</v>
      </c>
      <c r="H76" s="48"/>
      <c r="I76" s="48"/>
      <c r="J76" s="47">
        <v>1910.3</v>
      </c>
      <c r="K76" s="47"/>
      <c r="L76" s="47">
        <v>0</v>
      </c>
      <c r="M76" s="44">
        <f t="shared" si="5"/>
        <v>0</v>
      </c>
      <c r="N76" s="44">
        <f t="shared" si="6"/>
        <v>0</v>
      </c>
      <c r="O76" s="71"/>
      <c r="P76" s="4"/>
      <c r="Q76" s="4"/>
      <c r="R76" s="4">
        <f t="shared" si="8"/>
        <v>0</v>
      </c>
      <c r="S76" s="4"/>
      <c r="T76" s="4"/>
      <c r="U76" s="15"/>
      <c r="X76" s="35"/>
      <c r="Y76" s="35"/>
    </row>
    <row r="77" spans="1:25" ht="25.5">
      <c r="A77" s="66"/>
      <c r="B77" s="8" t="s">
        <v>52</v>
      </c>
      <c r="C77" s="22">
        <v>4751.9</v>
      </c>
      <c r="D77" s="12">
        <v>4069.7</v>
      </c>
      <c r="E77" s="12">
        <v>4069.7</v>
      </c>
      <c r="F77" s="48">
        <v>2359.7</v>
      </c>
      <c r="G77" s="48">
        <v>2359.7</v>
      </c>
      <c r="H77" s="48"/>
      <c r="I77" s="48"/>
      <c r="J77" s="47">
        <v>2262</v>
      </c>
      <c r="K77" s="47"/>
      <c r="L77" s="47">
        <v>2262</v>
      </c>
      <c r="M77" s="68">
        <f t="shared" si="5"/>
        <v>97.69999999999982</v>
      </c>
      <c r="N77" s="68">
        <f t="shared" si="6"/>
        <v>97.69999999999982</v>
      </c>
      <c r="O77" s="71" t="s">
        <v>105</v>
      </c>
      <c r="P77" s="4"/>
      <c r="Q77" s="4">
        <v>5134.6</v>
      </c>
      <c r="R77" s="4">
        <f t="shared" si="8"/>
        <v>-5134.6</v>
      </c>
      <c r="S77" s="4"/>
      <c r="T77" s="4">
        <f>138.7</f>
        <v>138.7</v>
      </c>
      <c r="U77" s="15"/>
      <c r="X77" s="35"/>
      <c r="Y77" s="35"/>
    </row>
    <row r="78" spans="1:25" ht="39" customHeight="1">
      <c r="A78" s="66"/>
      <c r="B78" s="8" t="s">
        <v>69</v>
      </c>
      <c r="C78" s="22"/>
      <c r="D78" s="12"/>
      <c r="E78" s="12"/>
      <c r="F78" s="48">
        <v>2535.1</v>
      </c>
      <c r="G78" s="48">
        <v>126.8</v>
      </c>
      <c r="H78" s="48"/>
      <c r="I78" s="48"/>
      <c r="J78" s="47">
        <v>2147.5</v>
      </c>
      <c r="K78" s="47"/>
      <c r="L78" s="47">
        <v>107.3</v>
      </c>
      <c r="M78" s="68">
        <f t="shared" si="5"/>
        <v>387.5999999999999</v>
      </c>
      <c r="N78" s="68">
        <f t="shared" si="6"/>
        <v>19.5</v>
      </c>
      <c r="O78" s="71" t="s">
        <v>106</v>
      </c>
      <c r="P78" s="4"/>
      <c r="Q78" s="4">
        <v>159.9</v>
      </c>
      <c r="R78" s="4">
        <f t="shared" si="8"/>
        <v>-159.9</v>
      </c>
      <c r="S78" s="4"/>
      <c r="T78" s="4"/>
      <c r="U78" s="15"/>
      <c r="X78" s="35"/>
      <c r="Y78" s="35"/>
    </row>
    <row r="79" spans="1:25" ht="26.25">
      <c r="A79" s="66"/>
      <c r="B79" s="8" t="s">
        <v>74</v>
      </c>
      <c r="C79" s="22"/>
      <c r="D79" s="12"/>
      <c r="E79" s="12"/>
      <c r="F79" s="48">
        <v>200</v>
      </c>
      <c r="G79" s="48">
        <v>200</v>
      </c>
      <c r="H79" s="48"/>
      <c r="I79" s="48"/>
      <c r="J79" s="47">
        <v>0</v>
      </c>
      <c r="K79" s="47"/>
      <c r="L79" s="47">
        <v>0</v>
      </c>
      <c r="M79" s="68">
        <f t="shared" si="5"/>
        <v>200</v>
      </c>
      <c r="N79" s="68">
        <f t="shared" si="6"/>
        <v>200</v>
      </c>
      <c r="O79" s="71" t="s">
        <v>107</v>
      </c>
      <c r="P79" s="4"/>
      <c r="Q79" s="4">
        <v>198.6</v>
      </c>
      <c r="R79" s="4">
        <f t="shared" si="8"/>
        <v>-198.6</v>
      </c>
      <c r="S79" s="4"/>
      <c r="T79" s="4"/>
      <c r="U79" s="15"/>
      <c r="X79" s="35"/>
      <c r="Y79" s="35"/>
    </row>
    <row r="80" spans="1:25" ht="26.25" hidden="1">
      <c r="A80" s="66"/>
      <c r="B80" s="63" t="s">
        <v>68</v>
      </c>
      <c r="C80" s="22"/>
      <c r="D80" s="12"/>
      <c r="E80" s="12"/>
      <c r="F80" s="51"/>
      <c r="G80" s="51"/>
      <c r="H80" s="51"/>
      <c r="I80" s="51"/>
      <c r="J80" s="47"/>
      <c r="K80" s="47"/>
      <c r="L80" s="47"/>
      <c r="M80" s="44">
        <f t="shared" si="5"/>
        <v>0</v>
      </c>
      <c r="N80" s="44">
        <f t="shared" si="6"/>
        <v>0</v>
      </c>
      <c r="O80" s="71"/>
      <c r="P80" s="4"/>
      <c r="Q80" s="4">
        <v>147</v>
      </c>
      <c r="R80" s="4">
        <f t="shared" si="8"/>
        <v>-147</v>
      </c>
      <c r="S80" s="4"/>
      <c r="T80" s="4"/>
      <c r="U80" s="15"/>
      <c r="X80" s="35"/>
      <c r="Y80" s="35"/>
    </row>
    <row r="81" spans="1:25" ht="15.75" hidden="1">
      <c r="A81" s="66"/>
      <c r="B81" s="63"/>
      <c r="C81" s="22"/>
      <c r="D81" s="12"/>
      <c r="E81" s="12"/>
      <c r="F81" s="51"/>
      <c r="G81" s="51"/>
      <c r="H81" s="51"/>
      <c r="I81" s="51"/>
      <c r="J81" s="47"/>
      <c r="K81" s="47"/>
      <c r="L81" s="47"/>
      <c r="M81" s="44">
        <f t="shared" si="5"/>
        <v>0</v>
      </c>
      <c r="N81" s="44">
        <f t="shared" si="6"/>
        <v>0</v>
      </c>
      <c r="O81" s="71"/>
      <c r="P81" s="4"/>
      <c r="Q81" s="4">
        <v>80</v>
      </c>
      <c r="R81" s="4">
        <f t="shared" si="8"/>
        <v>-80</v>
      </c>
      <c r="S81" s="4"/>
      <c r="T81" s="4"/>
      <c r="U81" s="15"/>
      <c r="X81" s="35"/>
      <c r="Y81" s="35"/>
    </row>
    <row r="82" spans="1:25" ht="15.75" hidden="1">
      <c r="A82" s="66"/>
      <c r="B82" s="63"/>
      <c r="C82" s="22"/>
      <c r="D82" s="12"/>
      <c r="E82" s="12"/>
      <c r="F82" s="51"/>
      <c r="G82" s="51"/>
      <c r="H82" s="51"/>
      <c r="I82" s="51"/>
      <c r="J82" s="47"/>
      <c r="K82" s="47"/>
      <c r="L82" s="47"/>
      <c r="M82" s="44">
        <f t="shared" si="5"/>
        <v>0</v>
      </c>
      <c r="N82" s="44">
        <f t="shared" si="6"/>
        <v>0</v>
      </c>
      <c r="O82" s="71"/>
      <c r="P82" s="4"/>
      <c r="Q82" s="4"/>
      <c r="R82" s="4"/>
      <c r="S82" s="4"/>
      <c r="T82" s="4"/>
      <c r="U82" s="15"/>
      <c r="X82" s="35"/>
      <c r="Y82" s="35"/>
    </row>
    <row r="83" spans="1:25" ht="15.75">
      <c r="A83" s="66"/>
      <c r="B83" s="8" t="s">
        <v>117</v>
      </c>
      <c r="C83" s="17">
        <v>43126</v>
      </c>
      <c r="D83" s="7">
        <v>51532.3</v>
      </c>
      <c r="E83" s="7">
        <v>0</v>
      </c>
      <c r="F83" s="48">
        <v>6556.4</v>
      </c>
      <c r="G83" s="48">
        <v>0</v>
      </c>
      <c r="H83" s="48"/>
      <c r="I83" s="48"/>
      <c r="J83" s="47">
        <v>6556.4</v>
      </c>
      <c r="K83" s="47"/>
      <c r="L83" s="47">
        <v>0</v>
      </c>
      <c r="M83" s="44">
        <f t="shared" si="5"/>
        <v>0</v>
      </c>
      <c r="N83" s="44">
        <f t="shared" si="6"/>
        <v>0</v>
      </c>
      <c r="O83" s="71"/>
      <c r="P83" s="4"/>
      <c r="Q83" s="4">
        <v>0</v>
      </c>
      <c r="R83" s="4">
        <f>I83-Q83</f>
        <v>0</v>
      </c>
      <c r="S83" s="4"/>
      <c r="T83" s="4"/>
      <c r="U83" s="15"/>
      <c r="X83" s="35"/>
      <c r="Y83" s="35"/>
    </row>
    <row r="84" spans="1:25" ht="15.75" hidden="1">
      <c r="A84" s="66"/>
      <c r="B84" s="8" t="s">
        <v>18</v>
      </c>
      <c r="C84" s="17">
        <v>9647.6</v>
      </c>
      <c r="D84" s="7">
        <v>12030.7</v>
      </c>
      <c r="E84" s="7">
        <v>193.5</v>
      </c>
      <c r="F84" s="48"/>
      <c r="G84" s="48"/>
      <c r="H84" s="48"/>
      <c r="I84" s="48"/>
      <c r="J84" s="47"/>
      <c r="K84" s="47"/>
      <c r="L84" s="47"/>
      <c r="M84" s="44">
        <f t="shared" si="5"/>
        <v>0</v>
      </c>
      <c r="N84" s="44">
        <f t="shared" si="6"/>
        <v>0</v>
      </c>
      <c r="O84" s="71"/>
      <c r="P84" s="4"/>
      <c r="Q84" s="4">
        <v>0</v>
      </c>
      <c r="R84" s="4">
        <f>I84-Q84</f>
        <v>0</v>
      </c>
      <c r="S84" s="4"/>
      <c r="T84" s="4"/>
      <c r="U84" s="15"/>
      <c r="X84" s="35"/>
      <c r="Y84" s="35"/>
    </row>
    <row r="85" spans="1:27" ht="15.75">
      <c r="A85" s="66" t="s">
        <v>86</v>
      </c>
      <c r="B85" s="56" t="s">
        <v>94</v>
      </c>
      <c r="C85" s="3">
        <v>7752.6</v>
      </c>
      <c r="D85" s="24">
        <v>63159.7</v>
      </c>
      <c r="E85" s="24">
        <v>11119.3</v>
      </c>
      <c r="F85" s="52">
        <v>28804</v>
      </c>
      <c r="G85" s="52">
        <v>21164.7</v>
      </c>
      <c r="H85" s="52"/>
      <c r="I85" s="52"/>
      <c r="J85" s="43">
        <v>23605.3</v>
      </c>
      <c r="K85" s="43"/>
      <c r="L85" s="43">
        <v>21164.7</v>
      </c>
      <c r="M85" s="44">
        <f t="shared" si="5"/>
        <v>5198.700000000001</v>
      </c>
      <c r="N85" s="44">
        <f t="shared" si="6"/>
        <v>0</v>
      </c>
      <c r="O85" s="71"/>
      <c r="P85" s="4"/>
      <c r="Q85" s="4">
        <v>6244.1</v>
      </c>
      <c r="R85" s="4">
        <f>I85-Q85</f>
        <v>-6244.1</v>
      </c>
      <c r="S85" s="4">
        <f>100.1+86.3</f>
        <v>186.39999999999998</v>
      </c>
      <c r="T85" s="3">
        <v>565.6</v>
      </c>
      <c r="U85" s="23">
        <v>5993.9</v>
      </c>
      <c r="V85" s="39"/>
      <c r="W85" s="39"/>
      <c r="X85" s="35"/>
      <c r="Y85" s="35"/>
      <c r="Z85" s="39"/>
      <c r="AA85" s="39"/>
    </row>
    <row r="86" spans="1:25" ht="15.75">
      <c r="A86" s="66"/>
      <c r="B86" s="8" t="s">
        <v>37</v>
      </c>
      <c r="C86" s="17"/>
      <c r="D86" s="7">
        <v>50000</v>
      </c>
      <c r="E86" s="7">
        <v>0</v>
      </c>
      <c r="F86" s="48">
        <v>5198.7</v>
      </c>
      <c r="G86" s="48">
        <v>0</v>
      </c>
      <c r="H86" s="48"/>
      <c r="I86" s="48"/>
      <c r="J86" s="47">
        <v>0</v>
      </c>
      <c r="K86" s="47"/>
      <c r="L86" s="47">
        <v>0</v>
      </c>
      <c r="M86" s="68">
        <f t="shared" si="5"/>
        <v>5198.7</v>
      </c>
      <c r="N86" s="68">
        <f t="shared" si="6"/>
        <v>0</v>
      </c>
      <c r="O86" s="71"/>
      <c r="P86" s="4"/>
      <c r="Q86" s="4"/>
      <c r="R86" s="4"/>
      <c r="S86" s="4"/>
      <c r="T86" s="4"/>
      <c r="U86" s="15"/>
      <c r="X86" s="35"/>
      <c r="Y86" s="35"/>
    </row>
    <row r="87" spans="1:27" ht="15.75">
      <c r="A87" s="66" t="s">
        <v>87</v>
      </c>
      <c r="B87" s="56" t="s">
        <v>25</v>
      </c>
      <c r="C87" s="3">
        <v>800</v>
      </c>
      <c r="D87" s="24">
        <v>1000</v>
      </c>
      <c r="E87" s="24">
        <v>1000</v>
      </c>
      <c r="F87" s="52">
        <v>1000</v>
      </c>
      <c r="G87" s="52">
        <v>1000</v>
      </c>
      <c r="H87" s="52"/>
      <c r="I87" s="52"/>
      <c r="J87" s="43">
        <v>1000</v>
      </c>
      <c r="K87" s="43"/>
      <c r="L87" s="43">
        <v>1000</v>
      </c>
      <c r="M87" s="44">
        <f t="shared" si="5"/>
        <v>0</v>
      </c>
      <c r="N87" s="44">
        <f t="shared" si="6"/>
        <v>0</v>
      </c>
      <c r="O87" s="69"/>
      <c r="P87" s="4"/>
      <c r="Q87" s="4">
        <v>800</v>
      </c>
      <c r="R87" s="4">
        <f>I87-Q87</f>
        <v>-800</v>
      </c>
      <c r="S87" s="10"/>
      <c r="T87" s="3"/>
      <c r="U87" s="23"/>
      <c r="V87" s="39"/>
      <c r="W87" s="39"/>
      <c r="X87" s="35"/>
      <c r="Y87" s="35"/>
      <c r="Z87" s="39"/>
      <c r="AA87" s="39"/>
    </row>
    <row r="88" spans="1:27" ht="15.75">
      <c r="A88" s="66" t="s">
        <v>88</v>
      </c>
      <c r="B88" s="56" t="s">
        <v>24</v>
      </c>
      <c r="C88" s="3">
        <v>1417.4</v>
      </c>
      <c r="D88" s="24">
        <v>1049.2</v>
      </c>
      <c r="E88" s="24">
        <v>1049.2</v>
      </c>
      <c r="F88" s="52">
        <v>104.7</v>
      </c>
      <c r="G88" s="52">
        <v>104.7</v>
      </c>
      <c r="H88" s="52"/>
      <c r="I88" s="52"/>
      <c r="J88" s="43">
        <v>101.2</v>
      </c>
      <c r="K88" s="43"/>
      <c r="L88" s="43">
        <v>101.2</v>
      </c>
      <c r="M88" s="44">
        <f t="shared" si="5"/>
        <v>3.5</v>
      </c>
      <c r="N88" s="44">
        <f t="shared" si="6"/>
        <v>3.5</v>
      </c>
      <c r="O88" s="71" t="s">
        <v>108</v>
      </c>
      <c r="P88" s="4"/>
      <c r="Q88" s="4">
        <v>1417.4</v>
      </c>
      <c r="R88" s="4">
        <f>I88-Q88</f>
        <v>-1417.4</v>
      </c>
      <c r="S88" s="4"/>
      <c r="T88" s="3"/>
      <c r="U88" s="23"/>
      <c r="V88" s="39"/>
      <c r="W88" s="39"/>
      <c r="X88" s="35"/>
      <c r="Y88" s="35"/>
      <c r="Z88" s="39"/>
      <c r="AA88" s="39"/>
    </row>
    <row r="89" spans="1:27" ht="78.75">
      <c r="A89" s="66" t="s">
        <v>89</v>
      </c>
      <c r="B89" s="56" t="s">
        <v>41</v>
      </c>
      <c r="C89" s="3"/>
      <c r="D89" s="24"/>
      <c r="E89" s="24"/>
      <c r="F89" s="52">
        <v>53773.4</v>
      </c>
      <c r="G89" s="52">
        <v>49811.1</v>
      </c>
      <c r="H89" s="52"/>
      <c r="I89" s="52"/>
      <c r="J89" s="43">
        <v>53773.4</v>
      </c>
      <c r="K89" s="43"/>
      <c r="L89" s="43">
        <v>49811.1</v>
      </c>
      <c r="M89" s="44">
        <f t="shared" si="5"/>
        <v>0</v>
      </c>
      <c r="N89" s="44">
        <f t="shared" si="6"/>
        <v>0</v>
      </c>
      <c r="O89" s="69"/>
      <c r="P89" s="4"/>
      <c r="Q89" s="4"/>
      <c r="R89" s="4"/>
      <c r="S89" s="4"/>
      <c r="T89" s="3"/>
      <c r="U89" s="23"/>
      <c r="V89" s="39"/>
      <c r="W89" s="39"/>
      <c r="X89" s="35"/>
      <c r="Y89" s="35"/>
      <c r="Z89" s="39"/>
      <c r="AA89" s="39"/>
    </row>
    <row r="90" spans="1:25" ht="15.75">
      <c r="A90" s="66"/>
      <c r="B90" s="61"/>
      <c r="C90" s="9"/>
      <c r="D90" s="9"/>
      <c r="E90" s="9"/>
      <c r="F90" s="9"/>
      <c r="G90" s="9"/>
      <c r="H90" s="9"/>
      <c r="I90" s="9"/>
      <c r="J90" s="4"/>
      <c r="K90" s="4"/>
      <c r="L90" s="4"/>
      <c r="M90" s="44">
        <f t="shared" si="5"/>
        <v>0</v>
      </c>
      <c r="N90" s="44">
        <f t="shared" si="6"/>
        <v>0</v>
      </c>
      <c r="O90" s="70"/>
      <c r="P90" s="4"/>
      <c r="Q90" s="4"/>
      <c r="R90" s="4">
        <f>I90-Q90</f>
        <v>0</v>
      </c>
      <c r="S90" s="4"/>
      <c r="T90" s="4"/>
      <c r="U90" s="15"/>
      <c r="X90" s="35"/>
      <c r="Y90" s="35"/>
    </row>
    <row r="91" spans="1:27" ht="18.75">
      <c r="A91" s="66"/>
      <c r="B91" s="64" t="s">
        <v>19</v>
      </c>
      <c r="C91" s="9" t="e">
        <f>C5+C32+C37+C47+C58+C62+C68+#REF!+C72+C85+C87+C88</f>
        <v>#REF!</v>
      </c>
      <c r="D91" s="9" t="e">
        <f>D5+D32+D37+D47+D58+D62+D68+D72+D85+D87+D88+D70</f>
        <v>#REF!</v>
      </c>
      <c r="E91" s="9" t="e">
        <f>E5+E32+E37+E47+E58+E62+E68+E72+E85+E87+E88+E70</f>
        <v>#REF!</v>
      </c>
      <c r="F91" s="42">
        <f>F5+F32+F37+F47+F58+F62+F68+F70+F72+F85+F87+F88+F89</f>
        <v>701934.6</v>
      </c>
      <c r="G91" s="67">
        <f>G5+G32+G37+G47+G58+G62+G68+G70+G72+G85+G87+G88+G89</f>
        <v>340891.60000000003</v>
      </c>
      <c r="H91" s="42" t="e">
        <f>H88+H87+H85+H72+H68+H62+H58+H47+H37+H32+H5+H70+H89</f>
        <v>#REF!</v>
      </c>
      <c r="I91" s="42" t="e">
        <f>I88+I87+I85+I72+I68+I62+I58+I47+I37+I32+I5+I70+I89</f>
        <v>#REF!</v>
      </c>
      <c r="J91" s="42">
        <f>J5+J32+J37+J47+J58+J62+J68+J70+J72+J85+J87+J88+J89</f>
        <v>694403.7000000001</v>
      </c>
      <c r="K91" s="42" t="e">
        <f>K5+K32+K37+K47+K58+K62+K68+K70+K72+K85+K87+K88+K89</f>
        <v>#REF!</v>
      </c>
      <c r="L91" s="67">
        <f>L5+L32+L37+L47+L58+L62+L68+L70+L72+L85+L87+L88+L89</f>
        <v>339261.10000000003</v>
      </c>
      <c r="M91" s="44">
        <f t="shared" si="5"/>
        <v>7530.899999999907</v>
      </c>
      <c r="N91" s="44">
        <f t="shared" si="6"/>
        <v>1630.5</v>
      </c>
      <c r="O91" s="69"/>
      <c r="P91" s="4"/>
      <c r="Q91" s="11" t="e">
        <f>Q5+Q32+Q37+Q47+Q58+Q62+Q68+#REF!+Q72+Q88+Q87+Q85</f>
        <v>#REF!</v>
      </c>
      <c r="R91" s="4" t="e">
        <f>I91-Q91</f>
        <v>#REF!</v>
      </c>
      <c r="S91" s="11" t="e">
        <f>S5+S32+S37+S47+S58+S62+S68+#REF!+S72+S88+S87+S85</f>
        <v>#REF!</v>
      </c>
      <c r="T91" s="3" t="e">
        <f>T5+T32+T37+T47+T58+T62+T68+T70+T72+T85+T87+T88</f>
        <v>#REF!</v>
      </c>
      <c r="U91" s="23" t="e">
        <f>U5+U32+U37+U47+U58+U62+U68+U70+U72+U85+U87+U88+0.1</f>
        <v>#REF!</v>
      </c>
      <c r="V91" s="41"/>
      <c r="W91" s="41"/>
      <c r="X91" s="35"/>
      <c r="Y91" s="35"/>
      <c r="Z91" s="41"/>
      <c r="AA91" s="41"/>
    </row>
  </sheetData>
  <sheetProtection/>
  <mergeCells count="15">
    <mergeCell ref="D2:E3"/>
    <mergeCell ref="H2:I3"/>
    <mergeCell ref="T2:T4"/>
    <mergeCell ref="O2:O4"/>
    <mergeCell ref="A2:A4"/>
    <mergeCell ref="A1:S1"/>
    <mergeCell ref="M2:N3"/>
    <mergeCell ref="B2:B4"/>
    <mergeCell ref="C2:C4"/>
    <mergeCell ref="U2:U4"/>
    <mergeCell ref="F2:G3"/>
    <mergeCell ref="Q2:Q4"/>
    <mergeCell ref="R2:R4"/>
    <mergeCell ref="S2:S4"/>
    <mergeCell ref="J2:L3"/>
  </mergeCells>
  <printOptions/>
  <pageMargins left="0.7874015748031497" right="0.3937007874015748" top="0.1968503937007874" bottom="0.1968503937007874" header="0.984251968503937" footer="0.31496062992125984"/>
  <pageSetup fitToHeight="1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buh5</cp:lastModifiedBy>
  <cp:lastPrinted>2018-04-17T13:20:22Z</cp:lastPrinted>
  <dcterms:created xsi:type="dcterms:W3CDTF">1996-10-08T23:32:33Z</dcterms:created>
  <dcterms:modified xsi:type="dcterms:W3CDTF">2018-04-17T13:38:47Z</dcterms:modified>
  <cp:category/>
  <cp:version/>
  <cp:contentType/>
  <cp:contentStatus/>
</cp:coreProperties>
</file>